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D9F488DC-71A5-4AF4-9F8E-00A55AFF2447}" xr6:coauthVersionLast="47" xr6:coauthVersionMax="47" xr10:uidLastSave="{00000000-0000-0000-0000-000000000000}"/>
  <bookViews>
    <workbookView xWindow="-120" yWindow="-120" windowWidth="25440" windowHeight="1539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00" i="20" l="1"/>
  <c r="AA948" i="3"/>
  <c r="AM560" i="3"/>
  <c r="AG446" i="3"/>
  <c r="AG448" i="3" s="1"/>
  <c r="W846" i="3"/>
  <c r="W847" i="3" s="1"/>
  <c r="W849" i="3"/>
  <c r="E16" i="7"/>
  <c r="W855" i="3"/>
  <c r="E17" i="7" s="1"/>
  <c r="W861" i="3"/>
  <c r="W862" i="3" s="1"/>
  <c r="E18" i="7" s="1"/>
  <c r="G18" i="7" s="1"/>
  <c r="I18" i="7" s="1"/>
  <c r="K18" i="7" s="1"/>
  <c r="M18" i="7" s="1"/>
  <c r="O18" i="7" s="1"/>
  <c r="Q18" i="7" s="1"/>
  <c r="S18" i="7" s="1"/>
  <c r="U18" i="7" s="1"/>
  <c r="W18" i="7" s="1"/>
  <c r="Y18" i="7" s="1"/>
  <c r="AA18" i="7" s="1"/>
  <c r="AC18" i="7" s="1"/>
  <c r="AE18" i="7" s="1"/>
  <c r="AG18" i="7" s="1"/>
  <c r="E19" i="7"/>
  <c r="W871" i="3"/>
  <c r="W872" i="3" s="1"/>
  <c r="E20" i="7" s="1"/>
  <c r="G20" i="7" s="1"/>
  <c r="I20" i="7" s="1"/>
  <c r="K20" i="7" s="1"/>
  <c r="M20" i="7" s="1"/>
  <c r="O20" i="7" s="1"/>
  <c r="Q20" i="7" s="1"/>
  <c r="S20" i="7" s="1"/>
  <c r="U20" i="7" s="1"/>
  <c r="W20" i="7" s="1"/>
  <c r="Y20" i="7" s="1"/>
  <c r="AA20" i="7" s="1"/>
  <c r="AC20" i="7" s="1"/>
  <c r="AE20" i="7" s="1"/>
  <c r="AG20" i="7" s="1"/>
  <c r="W879" i="3"/>
  <c r="E21" i="7" s="1"/>
  <c r="E26" i="7"/>
  <c r="E27" i="7"/>
  <c r="G753" i="3"/>
  <c r="O777" i="3"/>
  <c r="E29" i="7"/>
  <c r="E30" i="7"/>
  <c r="E31" i="7"/>
  <c r="AC894" i="3"/>
  <c r="E32" i="7" s="1"/>
  <c r="E33" i="7"/>
  <c r="T627" i="3"/>
  <c r="AF627" i="3" s="1"/>
  <c r="E40" i="7" s="1"/>
  <c r="S69" i="4"/>
  <c r="C69" i="4"/>
  <c r="D69" i="4"/>
  <c r="S65" i="4"/>
  <c r="D65" i="4"/>
  <c r="C65" i="4"/>
  <c r="C61" i="4"/>
  <c r="S49" i="4"/>
  <c r="S53" i="4"/>
  <c r="C53" i="4"/>
  <c r="S45" i="4"/>
  <c r="C45" i="4"/>
  <c r="C49" i="4"/>
  <c r="AD199" i="20"/>
  <c r="B199" i="20"/>
  <c r="C35" i="4"/>
  <c r="S35" i="4" s="1"/>
  <c r="S89" i="4"/>
  <c r="S50" i="4"/>
  <c r="S99" i="4"/>
  <c r="S13" i="4"/>
  <c r="S80" i="4"/>
  <c r="S90" i="4"/>
  <c r="S92" i="4"/>
  <c r="C52" i="4"/>
  <c r="S52" i="4"/>
  <c r="S51" i="4"/>
  <c r="S93" i="4"/>
  <c r="D85" i="4"/>
  <c r="C85" i="4"/>
  <c r="S85" i="4" s="1"/>
  <c r="S86" i="4"/>
  <c r="D40" i="4"/>
  <c r="C40" i="4"/>
  <c r="S40" i="4" s="1"/>
  <c r="D41" i="4"/>
  <c r="C41" i="4"/>
  <c r="S41" i="4"/>
  <c r="S94" i="4"/>
  <c r="C43" i="4"/>
  <c r="S43" i="4" s="1"/>
  <c r="D43" i="4"/>
  <c r="S79" i="4"/>
  <c r="S30" i="4"/>
  <c r="S31" i="4"/>
  <c r="S32" i="4"/>
  <c r="S33" i="4"/>
  <c r="S34" i="4"/>
  <c r="S36" i="4"/>
  <c r="S37" i="4"/>
  <c r="S29" i="4"/>
  <c r="F5" i="8"/>
  <c r="T225" i="20" s="1"/>
  <c r="F4" i="8"/>
  <c r="T224" i="20" s="1"/>
  <c r="AB224" i="20" s="1"/>
  <c r="AA939" i="3"/>
  <c r="O721" i="3"/>
  <c r="O720" i="3"/>
  <c r="O719" i="3"/>
  <c r="N225" i="20" s="1"/>
  <c r="O718" i="3"/>
  <c r="N224" i="20" s="1"/>
  <c r="G24" i="7"/>
  <c r="AA918" i="3"/>
  <c r="Q629" i="3"/>
  <c r="Q628" i="3"/>
  <c r="Q627" i="3"/>
  <c r="AO640" i="3"/>
  <c r="M958" i="3"/>
  <c r="W473" i="3"/>
  <c r="AG443" i="3"/>
  <c r="BE103" i="3"/>
  <c r="AC216" i="23"/>
  <c r="Y216" i="23"/>
  <c r="U216" i="23"/>
  <c r="BQ102" i="23"/>
  <c r="BQ101" i="23"/>
  <c r="N11" i="23"/>
  <c r="L44" i="21"/>
  <c r="M44" i="21"/>
  <c r="R44" i="21" a="1"/>
  <c r="R44" i="21" s="1"/>
  <c r="N44" i="21"/>
  <c r="L45" i="21"/>
  <c r="M45" i="21"/>
  <c r="O45" i="21"/>
  <c r="N45" i="21"/>
  <c r="U45" i="21"/>
  <c r="L46" i="21"/>
  <c r="M46" i="21"/>
  <c r="O46" i="21" s="1"/>
  <c r="N46" i="21"/>
  <c r="L47" i="21"/>
  <c r="M47" i="21"/>
  <c r="O47" i="21" s="1"/>
  <c r="N47" i="21"/>
  <c r="L48" i="21"/>
  <c r="M48" i="21"/>
  <c r="O48" i="21" s="1"/>
  <c r="N48" i="21"/>
  <c r="L49" i="21"/>
  <c r="M49" i="21"/>
  <c r="U49" i="21"/>
  <c r="N49" i="21"/>
  <c r="L50" i="21"/>
  <c r="M50" i="21"/>
  <c r="T50" i="21" s="1"/>
  <c r="N50" i="21"/>
  <c r="L51" i="21"/>
  <c r="M51" i="21"/>
  <c r="S51" i="21" s="1"/>
  <c r="N51" i="21"/>
  <c r="L52" i="21"/>
  <c r="M52" i="21"/>
  <c r="R52" i="2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52" i="21" a="1"/>
  <c r="P52" i="21" s="1"/>
  <c r="P50" i="21" a="1"/>
  <c r="P50" i="21" s="1"/>
  <c r="U50" i="21"/>
  <c r="S52" i="21"/>
  <c r="T49" i="21"/>
  <c r="O49" i="21"/>
  <c r="O51" i="21"/>
  <c r="R53" i="21" a="1"/>
  <c r="R53" i="21" s="1"/>
  <c r="O50" i="21"/>
  <c r="T45" i="21"/>
  <c r="U47" i="21"/>
  <c r="S45" i="21"/>
  <c r="T47" i="21"/>
  <c r="S47" i="21"/>
  <c r="U51" i="21"/>
  <c r="R47" i="21" a="1"/>
  <c r="R47" i="21" s="1"/>
  <c r="P51" i="21" a="1"/>
  <c r="P51" i="21" s="1"/>
  <c r="S49" i="21"/>
  <c r="R49" i="21" a="1"/>
  <c r="R49" i="21" s="1"/>
  <c r="P49" i="21" a="1"/>
  <c r="P49" i="21" s="1"/>
  <c r="S48" i="21"/>
  <c r="R48" i="21" a="1"/>
  <c r="R48" i="21" s="1"/>
  <c r="U46" i="21"/>
  <c r="P48" i="21" a="1"/>
  <c r="P48" i="21" s="1"/>
  <c r="T46" i="21"/>
  <c r="R51" i="21" a="1"/>
  <c r="R51" i="21" s="1"/>
  <c r="S46" i="21"/>
  <c r="S50" i="21"/>
  <c r="U53" i="21"/>
  <c r="T51" i="21"/>
  <c r="U48" i="21"/>
  <c r="T53" i="21"/>
  <c r="T48" i="21"/>
  <c r="T44" i="21"/>
  <c r="R46" i="21" a="1"/>
  <c r="R46" i="2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c r="S44" i="21"/>
  <c r="P45" i="21" a="1"/>
  <c r="P45" i="21" s="1"/>
  <c r="AD67" i="15" a="1"/>
  <c r="AD67" i="15" s="1"/>
  <c r="Y67" i="15" a="1"/>
  <c r="Y67" i="15" s="1"/>
  <c r="BE63"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3" i="3"/>
  <c r="BR98" i="23"/>
  <c r="BQ98" i="23"/>
  <c r="O105" i="23" s="1"/>
  <c r="BR97" i="23"/>
  <c r="BQ97" i="23"/>
  <c r="BR96" i="23"/>
  <c r="BQ96" i="23"/>
  <c r="AN28" i="23"/>
  <c r="AH28" i="23"/>
  <c r="AB28" i="23"/>
  <c r="V28" i="23"/>
  <c r="P28" i="23"/>
  <c r="J28" i="23" s="1"/>
  <c r="S15" i="23"/>
  <c r="AO13" i="23"/>
  <c r="BE18" i="3"/>
  <c r="N10" i="23"/>
  <c r="AB8" i="23"/>
  <c r="L6" i="23"/>
  <c r="L4" i="23"/>
  <c r="V21" i="23" a="1"/>
  <c r="V21" i="23" s="1"/>
  <c r="AN19" i="23" a="1"/>
  <c r="AN19" i="23" s="1"/>
  <c r="AB20" i="23" a="1"/>
  <c r="AB20" i="23" s="1"/>
  <c r="P21" i="23" a="1"/>
  <c r="P21" i="23" s="1"/>
  <c r="V20" i="23" a="1"/>
  <c r="V20" i="23"/>
  <c r="P20" i="23" a="1"/>
  <c r="P20" i="23" s="1"/>
  <c r="J20" i="23" s="1"/>
  <c r="P19" i="23" a="1"/>
  <c r="P19" i="23" s="1"/>
  <c r="AH19" i="23" a="1"/>
  <c r="AH19" i="23" s="1"/>
  <c r="AB19" i="23" a="1"/>
  <c r="AB19" i="23" s="1"/>
  <c r="V19" i="23" a="1"/>
  <c r="V19" i="23" s="1"/>
  <c r="AB24" i="23" a="1"/>
  <c r="AB24" i="23"/>
  <c r="AN24" i="23" a="1"/>
  <c r="AN24" i="23" s="1"/>
  <c r="AH24" i="23" a="1"/>
  <c r="AH24" i="23" s="1"/>
  <c r="AB23" i="23" a="1"/>
  <c r="AB23" i="23" s="1"/>
  <c r="AN23" i="23" a="1"/>
  <c r="AN23" i="23" s="1"/>
  <c r="AH23" i="23" a="1"/>
  <c r="AH23" i="23" s="1"/>
  <c r="V24" i="23" a="1"/>
  <c r="V24" i="23" s="1"/>
  <c r="J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c r="BA1038" i="3"/>
  <c r="AZ1048" i="3"/>
  <c r="AZ1047" i="3"/>
  <c r="AZ1045" i="3"/>
  <c r="AZ1049" i="3" s="1"/>
  <c r="BA1052" i="3"/>
  <c r="AZ1052" i="3" s="1"/>
  <c r="BH247" i="3"/>
  <c r="T212" i="3"/>
  <c r="I14" i="21"/>
  <c r="G137" i="21"/>
  <c r="G86" i="21"/>
  <c r="B82" i="21"/>
  <c r="B67" i="21"/>
  <c r="B92" i="21"/>
  <c r="B58" i="21"/>
  <c r="B49" i="21"/>
  <c r="BA1042" i="3"/>
  <c r="G37" i="21"/>
  <c r="C39" i="21" s="1"/>
  <c r="P18" i="21"/>
  <c r="AO22" i="20"/>
  <c r="AO17" i="20"/>
  <c r="AO13" i="20"/>
  <c r="AO25" i="20"/>
  <c r="AO26" i="20" s="1"/>
  <c r="AG444" i="3"/>
  <c r="AG445" i="3" s="1"/>
  <c r="AG441" i="3"/>
  <c r="BN150" i="3"/>
  <c r="C178" i="20"/>
  <c r="U374" i="20"/>
  <c r="AJ711" i="20"/>
  <c r="L100" i="21"/>
  <c r="X752" i="3"/>
  <c r="AH752" i="3"/>
  <c r="BF751" i="3"/>
  <c r="BS751" i="3"/>
  <c r="BS752" i="3"/>
  <c r="AJ1020" i="3"/>
  <c r="BF740" i="3"/>
  <c r="AH751" i="3"/>
  <c r="AH742" i="3"/>
  <c r="AY1027" i="3"/>
  <c r="C757" i="3"/>
  <c r="AX690" i="20"/>
  <c r="AX689" i="20"/>
  <c r="AJ725" i="20"/>
  <c r="AO597" i="20"/>
  <c r="AP583" i="20"/>
  <c r="BS742" i="3"/>
  <c r="BS743" i="3"/>
  <c r="BS744" i="3"/>
  <c r="BS745" i="3"/>
  <c r="BS746" i="3"/>
  <c r="BS747" i="3"/>
  <c r="BS748" i="3"/>
  <c r="BS749" i="3"/>
  <c r="BS750" i="3"/>
  <c r="BF742" i="3"/>
  <c r="BF743" i="3"/>
  <c r="BF744" i="3"/>
  <c r="BF745" i="3"/>
  <c r="BF746" i="3"/>
  <c r="BF747" i="3"/>
  <c r="BF748" i="3"/>
  <c r="BF749" i="3"/>
  <c r="BF750" i="3"/>
  <c r="BF741" i="3"/>
  <c r="BF752"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c r="B31" i="8"/>
  <c r="G31" i="8" s="1"/>
  <c r="B32" i="8"/>
  <c r="G32" i="8" s="1"/>
  <c r="B33" i="8"/>
  <c r="G33" i="8" s="1"/>
  <c r="B34" i="8"/>
  <c r="G34" i="8" s="1"/>
  <c r="B35" i="8"/>
  <c r="G35" i="8"/>
  <c r="B36" i="8"/>
  <c r="G36" i="8" s="1"/>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DX668" i="3" s="1"/>
  <c r="CU751" i="3"/>
  <c r="FE751" i="3"/>
  <c r="CZ751" i="3"/>
  <c r="FJ751" i="3" s="1"/>
  <c r="DE751" i="3"/>
  <c r="FO751" i="3"/>
  <c r="EM668" i="3" s="1"/>
  <c r="DJ751" i="3"/>
  <c r="FT751" i="3"/>
  <c r="DO751" i="3"/>
  <c r="FY751" i="3" s="1"/>
  <c r="CP741" i="3"/>
  <c r="EZ741" i="3" s="1"/>
  <c r="CU741" i="3"/>
  <c r="FE741" i="3"/>
  <c r="CZ741" i="3"/>
  <c r="FJ741" i="3" s="1"/>
  <c r="DE741" i="3"/>
  <c r="FO741" i="3"/>
  <c r="DJ741" i="3"/>
  <c r="FT741" i="3" s="1"/>
  <c r="DO741" i="3"/>
  <c r="FY741" i="3" s="1"/>
  <c r="CP742" i="3"/>
  <c r="EZ742" i="3"/>
  <c r="CU742" i="3"/>
  <c r="FE742" i="3" s="1"/>
  <c r="CZ742" i="3"/>
  <c r="FJ742" i="3" s="1"/>
  <c r="DE742" i="3"/>
  <c r="FO742" i="3" s="1"/>
  <c r="DJ742" i="3"/>
  <c r="FT742" i="3"/>
  <c r="DO742" i="3"/>
  <c r="FY742" i="3"/>
  <c r="CP743" i="3"/>
  <c r="EZ743" i="3" s="1"/>
  <c r="DX660" i="3" s="1"/>
  <c r="CU743" i="3"/>
  <c r="FE743" i="3" s="1"/>
  <c r="CZ743" i="3"/>
  <c r="FJ743" i="3" s="1"/>
  <c r="DE743" i="3"/>
  <c r="FO743" i="3"/>
  <c r="EM660" i="3" s="1"/>
  <c r="DJ743" i="3"/>
  <c r="FT743" i="3"/>
  <c r="DO743" i="3"/>
  <c r="FY743" i="3" s="1"/>
  <c r="CP744" i="3"/>
  <c r="EZ744" i="3" s="1"/>
  <c r="DX661" i="3" s="1"/>
  <c r="CU744" i="3"/>
  <c r="FE744" i="3"/>
  <c r="CZ744" i="3"/>
  <c r="DE744" i="3"/>
  <c r="FO744" i="3"/>
  <c r="DJ744" i="3"/>
  <c r="FT744" i="3" s="1"/>
  <c r="DO744" i="3"/>
  <c r="FY744" i="3"/>
  <c r="CP745" i="3"/>
  <c r="EZ745" i="3"/>
  <c r="CU745" i="3"/>
  <c r="FE745" i="3" s="1"/>
  <c r="CZ745" i="3"/>
  <c r="FJ745" i="3" s="1"/>
  <c r="DE745" i="3"/>
  <c r="FO745" i="3" s="1"/>
  <c r="EM662" i="3" s="1"/>
  <c r="DJ745" i="3"/>
  <c r="FT745" i="3"/>
  <c r="DO745" i="3"/>
  <c r="FY745" i="3"/>
  <c r="CP746" i="3"/>
  <c r="EZ746" i="3" s="1"/>
  <c r="CU746" i="3"/>
  <c r="FE746" i="3" s="1"/>
  <c r="CZ746" i="3"/>
  <c r="FJ746" i="3" s="1"/>
  <c r="DE746" i="3"/>
  <c r="FO746" i="3" s="1"/>
  <c r="EM663" i="3" s="1"/>
  <c r="DJ746" i="3"/>
  <c r="FT746" i="3"/>
  <c r="DO746" i="3"/>
  <c r="FY746" i="3" s="1"/>
  <c r="CP747" i="3"/>
  <c r="EZ747" i="3"/>
  <c r="CU747" i="3"/>
  <c r="FE747" i="3"/>
  <c r="CZ747" i="3"/>
  <c r="FJ747" i="3" s="1"/>
  <c r="DE747" i="3"/>
  <c r="FO747" i="3"/>
  <c r="DJ747" i="3"/>
  <c r="FT747" i="3" s="1"/>
  <c r="DO747" i="3"/>
  <c r="FY747" i="3"/>
  <c r="CP748" i="3"/>
  <c r="EZ748" i="3"/>
  <c r="CU748" i="3"/>
  <c r="FE748" i="3" s="1"/>
  <c r="CZ748" i="3"/>
  <c r="FJ748" i="3" s="1"/>
  <c r="DE748" i="3"/>
  <c r="FO748" i="3" s="1"/>
  <c r="EM665" i="3" s="1"/>
  <c r="DJ748" i="3"/>
  <c r="FT748" i="3" s="1"/>
  <c r="DO748" i="3"/>
  <c r="FY748" i="3"/>
  <c r="CP749" i="3"/>
  <c r="EZ749" i="3" s="1"/>
  <c r="DX666" i="3" s="1"/>
  <c r="CU749" i="3"/>
  <c r="FE749" i="3"/>
  <c r="CZ749" i="3"/>
  <c r="FJ749" i="3" s="1"/>
  <c r="DE749" i="3"/>
  <c r="FO749" i="3" s="1"/>
  <c r="DJ749" i="3"/>
  <c r="FT749" i="3"/>
  <c r="DO749" i="3"/>
  <c r="FY749" i="3" s="1"/>
  <c r="CP750" i="3"/>
  <c r="EZ750" i="3"/>
  <c r="CU750" i="3"/>
  <c r="FE750" i="3"/>
  <c r="CZ750" i="3"/>
  <c r="FJ750" i="3" s="1"/>
  <c r="DE750" i="3"/>
  <c r="FO750" i="3"/>
  <c r="DJ750" i="3"/>
  <c r="FT750" i="3" s="1"/>
  <c r="DO750" i="3"/>
  <c r="FY750" i="3" s="1"/>
  <c r="CG751" i="3"/>
  <c r="CI751" i="3"/>
  <c r="CK751" i="3"/>
  <c r="CM751" i="3" s="1"/>
  <c r="CG741" i="3"/>
  <c r="CI741" i="3" s="1"/>
  <c r="CK741" i="3"/>
  <c r="CM741" i="3" s="1"/>
  <c r="CG742" i="3"/>
  <c r="CI742" i="3" s="1"/>
  <c r="CK742" i="3"/>
  <c r="CM742" i="3"/>
  <c r="CG743" i="3"/>
  <c r="CI743" i="3" s="1"/>
  <c r="CK743" i="3"/>
  <c r="CM743" i="3"/>
  <c r="CG744" i="3"/>
  <c r="CI744" i="3" s="1"/>
  <c r="CK744" i="3"/>
  <c r="CM744" i="3"/>
  <c r="CG745" i="3"/>
  <c r="CI745" i="3"/>
  <c r="CK745" i="3"/>
  <c r="CM745" i="3" s="1"/>
  <c r="CG746" i="3"/>
  <c r="CI746" i="3" s="1"/>
  <c r="CK746" i="3"/>
  <c r="CM746" i="3"/>
  <c r="CG747" i="3"/>
  <c r="CI747" i="3" s="1"/>
  <c r="CK747" i="3"/>
  <c r="CM747" i="3"/>
  <c r="CG748" i="3"/>
  <c r="CI748" i="3" s="1"/>
  <c r="CK748" i="3"/>
  <c r="CM748" i="3" s="1"/>
  <c r="CG749" i="3"/>
  <c r="CI749" i="3"/>
  <c r="CK749" i="3"/>
  <c r="CM749" i="3" s="1"/>
  <c r="CG750" i="3"/>
  <c r="CI750" i="3" s="1"/>
  <c r="CK750" i="3"/>
  <c r="CM750" i="3" s="1"/>
  <c r="X742" i="3"/>
  <c r="X743" i="3"/>
  <c r="X744" i="3"/>
  <c r="X745" i="3"/>
  <c r="X746" i="3"/>
  <c r="X747" i="3"/>
  <c r="X748" i="3"/>
  <c r="X749" i="3"/>
  <c r="X750" i="3"/>
  <c r="X751" i="3"/>
  <c r="AJ180" i="20"/>
  <c r="AK183" i="20" s="1"/>
  <c r="AJ166" i="20"/>
  <c r="AP293" i="20"/>
  <c r="AJ1025"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A40" i="7"/>
  <c r="G16" i="7"/>
  <c r="I16" i="7" s="1"/>
  <c r="K16" i="7" s="1"/>
  <c r="M16" i="7" s="1"/>
  <c r="O16" i="7" s="1"/>
  <c r="Q16" i="7" s="1"/>
  <c r="S16" i="7" s="1"/>
  <c r="U16" i="7" s="1"/>
  <c r="W16" i="7" s="1"/>
  <c r="Y16" i="7" s="1"/>
  <c r="AA16" i="7" s="1"/>
  <c r="AC16" i="7" s="1"/>
  <c r="AE16" i="7" s="1"/>
  <c r="AG16" i="7" s="1"/>
  <c r="G17" i="7"/>
  <c r="I17" i="7"/>
  <c r="K17" i="7" s="1"/>
  <c r="M17" i="7" s="1"/>
  <c r="O17" i="7" s="1"/>
  <c r="Q17" i="7" s="1"/>
  <c r="S17" i="7" s="1"/>
  <c r="U17" i="7" s="1"/>
  <c r="W17" i="7" s="1"/>
  <c r="Y17" i="7" s="1"/>
  <c r="AA17" i="7" s="1"/>
  <c r="AC17" i="7" s="1"/>
  <c r="AE17" i="7" s="1"/>
  <c r="AG17" i="7" s="1"/>
  <c r="G21" i="7"/>
  <c r="I21" i="7"/>
  <c r="K21" i="7" s="1"/>
  <c r="M21" i="7" s="1"/>
  <c r="O21" i="7" s="1"/>
  <c r="Q21" i="7" s="1"/>
  <c r="S21" i="7" s="1"/>
  <c r="U21" i="7" s="1"/>
  <c r="W21" i="7" s="1"/>
  <c r="Y21" i="7" s="1"/>
  <c r="AA21" i="7" s="1"/>
  <c r="AC21" i="7" s="1"/>
  <c r="AE21" i="7" s="1"/>
  <c r="AG21" i="7" s="1"/>
  <c r="Z817" i="3"/>
  <c r="E8" i="7"/>
  <c r="AC773" i="3"/>
  <c r="AC777" i="3" s="1"/>
  <c r="AC774" i="3"/>
  <c r="AC775" i="3"/>
  <c r="AC776" i="3"/>
  <c r="AC787" i="3"/>
  <c r="AC788" i="3"/>
  <c r="AC789" i="3"/>
  <c r="AC790" i="3"/>
  <c r="AC791" i="3"/>
  <c r="AC792" i="3"/>
  <c r="AC793" i="3"/>
  <c r="AC794" i="3"/>
  <c r="AC795" i="3"/>
  <c r="AC797" i="3" s="1"/>
  <c r="AC796" i="3"/>
  <c r="T25" i="15"/>
  <c r="AD7" i="15"/>
  <c r="DG122" i="3"/>
  <c r="R989" i="3"/>
  <c r="CP718" i="3"/>
  <c r="CP719" i="3"/>
  <c r="EZ719" i="3" s="1"/>
  <c r="CP720" i="3"/>
  <c r="EZ720" i="3" s="1"/>
  <c r="CP721" i="3"/>
  <c r="EZ721" i="3" s="1"/>
  <c r="CP722" i="3"/>
  <c r="EZ722" i="3" s="1"/>
  <c r="CP723" i="3"/>
  <c r="CP753" i="3" s="1"/>
  <c r="CP724" i="3"/>
  <c r="EZ724" i="3" s="1"/>
  <c r="CP725" i="3"/>
  <c r="EZ725" i="3" s="1"/>
  <c r="CP726" i="3"/>
  <c r="EZ726" i="3" s="1"/>
  <c r="CP727" i="3"/>
  <c r="EZ727" i="3" s="1"/>
  <c r="CP728" i="3"/>
  <c r="EZ728" i="3" s="1"/>
  <c r="CP729" i="3"/>
  <c r="EZ729" i="3" s="1"/>
  <c r="DX646" i="3" s="1"/>
  <c r="CP730" i="3"/>
  <c r="EZ730" i="3"/>
  <c r="CP731" i="3"/>
  <c r="EZ731" i="3" s="1"/>
  <c r="DX648" i="3" s="1"/>
  <c r="CP732" i="3"/>
  <c r="EZ732" i="3" s="1"/>
  <c r="CP733" i="3"/>
  <c r="EZ733" i="3"/>
  <c r="DX650" i="3" s="1"/>
  <c r="CP734" i="3"/>
  <c r="EZ734" i="3" s="1"/>
  <c r="CP735" i="3"/>
  <c r="EZ735" i="3" s="1"/>
  <c r="CP736" i="3"/>
  <c r="EZ736" i="3" s="1"/>
  <c r="CP737" i="3"/>
  <c r="EZ737" i="3" s="1"/>
  <c r="DX654" i="3" s="1"/>
  <c r="CP738" i="3"/>
  <c r="EZ738" i="3" s="1"/>
  <c r="CP739" i="3"/>
  <c r="EZ739" i="3"/>
  <c r="CP740" i="3"/>
  <c r="EZ740" i="3" s="1"/>
  <c r="CP752" i="3"/>
  <c r="EZ752" i="3" s="1"/>
  <c r="CP773" i="3"/>
  <c r="CP777" i="3" s="1"/>
  <c r="CP774" i="3"/>
  <c r="CP775" i="3"/>
  <c r="CP776" i="3"/>
  <c r="CP787" i="3"/>
  <c r="DU787" i="3" s="1"/>
  <c r="CP788" i="3"/>
  <c r="DU788" i="3" s="1"/>
  <c r="CP789" i="3"/>
  <c r="DU789" i="3" s="1"/>
  <c r="CP790" i="3"/>
  <c r="CP791" i="3"/>
  <c r="CP797" i="3" s="1"/>
  <c r="CT798" i="3" s="1"/>
  <c r="CP792" i="3"/>
  <c r="DU792" i="3"/>
  <c r="CP793" i="3"/>
  <c r="DU793" i="3"/>
  <c r="CP794" i="3"/>
  <c r="DU794" i="3" s="1"/>
  <c r="CP795" i="3"/>
  <c r="DU795" i="3" s="1"/>
  <c r="CP796" i="3"/>
  <c r="DU796" i="3"/>
  <c r="CU718" i="3"/>
  <c r="CU719" i="3"/>
  <c r="FE719" i="3" s="1"/>
  <c r="CU720" i="3"/>
  <c r="FE720" i="3" s="1"/>
  <c r="CU721" i="3"/>
  <c r="FE721" i="3" s="1"/>
  <c r="CU722" i="3"/>
  <c r="FE722" i="3" s="1"/>
  <c r="CU723" i="3"/>
  <c r="FE723" i="3" s="1"/>
  <c r="CU724" i="3"/>
  <c r="FE724" i="3" s="1"/>
  <c r="CU725" i="3"/>
  <c r="CU726" i="3"/>
  <c r="FE726" i="3" s="1"/>
  <c r="CU727" i="3"/>
  <c r="FE727" i="3" s="1"/>
  <c r="CU728" i="3"/>
  <c r="FE728" i="3"/>
  <c r="CU729" i="3"/>
  <c r="FE729" i="3" s="1"/>
  <c r="CU730" i="3"/>
  <c r="FE730" i="3"/>
  <c r="CU731" i="3"/>
  <c r="FE731" i="3" s="1"/>
  <c r="CU732" i="3"/>
  <c r="FE732" i="3" s="1"/>
  <c r="CU733" i="3"/>
  <c r="FE733" i="3" s="1"/>
  <c r="CU734" i="3"/>
  <c r="FE734" i="3" s="1"/>
  <c r="CU735" i="3"/>
  <c r="FE735" i="3" s="1"/>
  <c r="CU736" i="3"/>
  <c r="FE736" i="3" s="1"/>
  <c r="CU737" i="3"/>
  <c r="FE737" i="3"/>
  <c r="CU738" i="3"/>
  <c r="FE738" i="3" s="1"/>
  <c r="CU739" i="3"/>
  <c r="FE739" i="3" s="1"/>
  <c r="CU740" i="3"/>
  <c r="FE740" i="3" s="1"/>
  <c r="CU752" i="3"/>
  <c r="FE752" i="3" s="1"/>
  <c r="CU773" i="3"/>
  <c r="CU774" i="3"/>
  <c r="CU775" i="3"/>
  <c r="CU776" i="3"/>
  <c r="CU787" i="3"/>
  <c r="DZ787" i="3"/>
  <c r="CU788" i="3"/>
  <c r="DZ788" i="3" s="1"/>
  <c r="CU789" i="3"/>
  <c r="DZ789" i="3"/>
  <c r="CU790" i="3"/>
  <c r="DZ790" i="3" s="1"/>
  <c r="CU791" i="3"/>
  <c r="DZ791" i="3" s="1"/>
  <c r="CU792" i="3"/>
  <c r="DZ792" i="3" s="1"/>
  <c r="CU793" i="3"/>
  <c r="DZ793" i="3" s="1"/>
  <c r="DZ797"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c r="CZ729" i="3"/>
  <c r="FJ729" i="3" s="1"/>
  <c r="CZ730" i="3"/>
  <c r="FJ730" i="3"/>
  <c r="CZ731" i="3"/>
  <c r="FJ731" i="3" s="1"/>
  <c r="CZ732" i="3"/>
  <c r="FJ732" i="3" s="1"/>
  <c r="CZ733" i="3"/>
  <c r="FJ733" i="3" s="1"/>
  <c r="CZ734" i="3"/>
  <c r="FJ734" i="3" s="1"/>
  <c r="CZ735" i="3"/>
  <c r="FJ735" i="3" s="1"/>
  <c r="CZ736" i="3"/>
  <c r="FJ736" i="3" s="1"/>
  <c r="CZ737" i="3"/>
  <c r="FJ737" i="3"/>
  <c r="CZ738" i="3"/>
  <c r="FJ738" i="3" s="1"/>
  <c r="CZ739" i="3"/>
  <c r="FJ739" i="3" s="1"/>
  <c r="CZ740" i="3"/>
  <c r="FJ740" i="3" s="1"/>
  <c r="CZ752" i="3"/>
  <c r="FJ752" i="3" s="1"/>
  <c r="CZ773" i="3"/>
  <c r="CZ774" i="3"/>
  <c r="CZ775" i="3"/>
  <c r="CZ776" i="3"/>
  <c r="CZ787" i="3"/>
  <c r="EE787" i="3"/>
  <c r="CZ788" i="3"/>
  <c r="EE788" i="3" s="1"/>
  <c r="CZ789" i="3"/>
  <c r="EE789" i="3"/>
  <c r="CZ790" i="3"/>
  <c r="EE790" i="3" s="1"/>
  <c r="CZ791" i="3"/>
  <c r="EE791" i="3" s="1"/>
  <c r="CZ792" i="3"/>
  <c r="EE792" i="3" s="1"/>
  <c r="CZ793" i="3"/>
  <c r="EE793" i="3" s="1"/>
  <c r="CZ794" i="3"/>
  <c r="CZ795" i="3"/>
  <c r="EE795" i="3" s="1"/>
  <c r="CZ796" i="3"/>
  <c r="EE796" i="3"/>
  <c r="DE718" i="3"/>
  <c r="FO718" i="3"/>
  <c r="DE719" i="3"/>
  <c r="FO719" i="3" s="1"/>
  <c r="DE720" i="3"/>
  <c r="FO720" i="3" s="1"/>
  <c r="DE721" i="3"/>
  <c r="FO721" i="3" s="1"/>
  <c r="DE722" i="3"/>
  <c r="FO722" i="3" s="1"/>
  <c r="EM639" i="3" s="1"/>
  <c r="DE723" i="3"/>
  <c r="FO723" i="3"/>
  <c r="DE724" i="3"/>
  <c r="FO724" i="3" s="1"/>
  <c r="DE725" i="3"/>
  <c r="FO725" i="3"/>
  <c r="DE726" i="3"/>
  <c r="FO726" i="3"/>
  <c r="DE727" i="3"/>
  <c r="FO727" i="3" s="1"/>
  <c r="DE728" i="3"/>
  <c r="FO728" i="3"/>
  <c r="DE729" i="3"/>
  <c r="FO729" i="3" s="1"/>
  <c r="EM646" i="3" s="1"/>
  <c r="DE730" i="3"/>
  <c r="FO730" i="3"/>
  <c r="EM647" i="3" s="1"/>
  <c r="DE731" i="3"/>
  <c r="FO731" i="3"/>
  <c r="DE732" i="3"/>
  <c r="FO732" i="3" s="1"/>
  <c r="EM649" i="3" s="1"/>
  <c r="DE733" i="3"/>
  <c r="FO733" i="3" s="1"/>
  <c r="DE734" i="3"/>
  <c r="FO734" i="3" s="1"/>
  <c r="EM651" i="3" s="1"/>
  <c r="DE735" i="3"/>
  <c r="FO735" i="3" s="1"/>
  <c r="EM652" i="3" s="1"/>
  <c r="DE736" i="3"/>
  <c r="FO736" i="3"/>
  <c r="DE737" i="3"/>
  <c r="FO737" i="3" s="1"/>
  <c r="DE738" i="3"/>
  <c r="FO738" i="3"/>
  <c r="DE739" i="3"/>
  <c r="FO739" i="3" s="1"/>
  <c r="DE740" i="3"/>
  <c r="FO740" i="3" s="1"/>
  <c r="EM657" i="3" s="1"/>
  <c r="DE752" i="3"/>
  <c r="FO752" i="3"/>
  <c r="DE773" i="3"/>
  <c r="DE774" i="3"/>
  <c r="DE775" i="3"/>
  <c r="DE776" i="3"/>
  <c r="DE787" i="3"/>
  <c r="EJ787" i="3"/>
  <c r="DE788" i="3"/>
  <c r="EJ788" i="3" s="1"/>
  <c r="DE789" i="3"/>
  <c r="EJ789" i="3"/>
  <c r="DE790" i="3"/>
  <c r="EJ790" i="3" s="1"/>
  <c r="DE791" i="3"/>
  <c r="EJ791" i="3" s="1"/>
  <c r="DE792" i="3"/>
  <c r="EJ792" i="3"/>
  <c r="DE793" i="3"/>
  <c r="EJ793" i="3" s="1"/>
  <c r="DE794" i="3"/>
  <c r="EJ794" i="3" s="1"/>
  <c r="DE795" i="3"/>
  <c r="EJ795" i="3" s="1"/>
  <c r="DE796" i="3"/>
  <c r="EJ796" i="3" s="1"/>
  <c r="DO787" i="3"/>
  <c r="ET787" i="3"/>
  <c r="DO788" i="3"/>
  <c r="ET788" i="3" s="1"/>
  <c r="DO789" i="3"/>
  <c r="ET789" i="3"/>
  <c r="DO790" i="3"/>
  <c r="ET790" i="3" s="1"/>
  <c r="DO791" i="3"/>
  <c r="ET791" i="3"/>
  <c r="DO792" i="3"/>
  <c r="ET792" i="3"/>
  <c r="DO793" i="3"/>
  <c r="ET793" i="3" s="1"/>
  <c r="DO794" i="3"/>
  <c r="ET794" i="3" s="1"/>
  <c r="DO795" i="3"/>
  <c r="ET795" i="3"/>
  <c r="DO796" i="3"/>
  <c r="ET796" i="3" s="1"/>
  <c r="DO773" i="3"/>
  <c r="DO774" i="3"/>
  <c r="DO775" i="3"/>
  <c r="DO777" i="3" s="1"/>
  <c r="DS778" i="3" s="1"/>
  <c r="DO776" i="3"/>
  <c r="DO718" i="3"/>
  <c r="FY718" i="3" s="1"/>
  <c r="DO719" i="3"/>
  <c r="FY719" i="3"/>
  <c r="DO720" i="3"/>
  <c r="FY720" i="3" s="1"/>
  <c r="DO721" i="3"/>
  <c r="FY721" i="3" s="1"/>
  <c r="DO722" i="3"/>
  <c r="FY722" i="3" s="1"/>
  <c r="DO723" i="3"/>
  <c r="FY723" i="3"/>
  <c r="DO724" i="3"/>
  <c r="FY724" i="3"/>
  <c r="DO725" i="3"/>
  <c r="FY725" i="3" s="1"/>
  <c r="DO726" i="3"/>
  <c r="FY726" i="3" s="1"/>
  <c r="DO727" i="3"/>
  <c r="FY727" i="3" s="1"/>
  <c r="DO728" i="3"/>
  <c r="FY728" i="3"/>
  <c r="DO729" i="3"/>
  <c r="FY729" i="3"/>
  <c r="DO730" i="3"/>
  <c r="FY730" i="3" s="1"/>
  <c r="DO731" i="3"/>
  <c r="FY731" i="3" s="1"/>
  <c r="DO732" i="3"/>
  <c r="FY732" i="3"/>
  <c r="DO733" i="3"/>
  <c r="FY733" i="3" s="1"/>
  <c r="DO734" i="3"/>
  <c r="FY734" i="3"/>
  <c r="DO735" i="3"/>
  <c r="FY735" i="3" s="1"/>
  <c r="DO736" i="3"/>
  <c r="FY736" i="3"/>
  <c r="DO737" i="3"/>
  <c r="FY737" i="3"/>
  <c r="DO738" i="3"/>
  <c r="FY738" i="3" s="1"/>
  <c r="DO739" i="3"/>
  <c r="DO740" i="3"/>
  <c r="FY740" i="3" s="1"/>
  <c r="DO752" i="3"/>
  <c r="FY752" i="3"/>
  <c r="DJ718" i="3"/>
  <c r="FT718" i="3"/>
  <c r="DJ719" i="3"/>
  <c r="FT719" i="3" s="1"/>
  <c r="DJ720" i="3"/>
  <c r="FT720" i="3" s="1"/>
  <c r="DJ721" i="3"/>
  <c r="FT721" i="3" s="1"/>
  <c r="DJ722" i="3"/>
  <c r="FT722" i="3" s="1"/>
  <c r="DJ723" i="3"/>
  <c r="FT723" i="3"/>
  <c r="DJ724" i="3"/>
  <c r="FT724" i="3" s="1"/>
  <c r="DJ725" i="3"/>
  <c r="FT725" i="3"/>
  <c r="DJ726" i="3"/>
  <c r="FT726" i="3"/>
  <c r="DJ727" i="3"/>
  <c r="FT727" i="3" s="1"/>
  <c r="DJ728" i="3"/>
  <c r="FT728" i="3"/>
  <c r="DJ729" i="3"/>
  <c r="FT729" i="3" s="1"/>
  <c r="DJ730" i="3"/>
  <c r="FT730" i="3"/>
  <c r="DJ731" i="3"/>
  <c r="FT731" i="3"/>
  <c r="DJ732" i="3"/>
  <c r="FT732" i="3" s="1"/>
  <c r="DJ733" i="3"/>
  <c r="FT733" i="3" s="1"/>
  <c r="DJ734" i="3"/>
  <c r="FT734" i="3" s="1"/>
  <c r="DJ735" i="3"/>
  <c r="FT735" i="3" s="1"/>
  <c r="DJ736" i="3"/>
  <c r="FT736" i="3"/>
  <c r="DJ737" i="3"/>
  <c r="FT737" i="3" s="1"/>
  <c r="DJ738" i="3"/>
  <c r="FT738" i="3"/>
  <c r="DJ739" i="3"/>
  <c r="FT739" i="3" s="1"/>
  <c r="DJ740" i="3"/>
  <c r="FT740" i="3" s="1"/>
  <c r="DJ752" i="3"/>
  <c r="FT752" i="3"/>
  <c r="DJ773" i="3"/>
  <c r="DJ774" i="3"/>
  <c r="DJ775" i="3"/>
  <c r="DJ776" i="3"/>
  <c r="DJ777" i="3" s="1"/>
  <c r="DN778" i="3" s="1"/>
  <c r="DJ787" i="3"/>
  <c r="DJ788" i="3"/>
  <c r="EO788" i="3"/>
  <c r="DJ789" i="3"/>
  <c r="EO789" i="3" s="1"/>
  <c r="DJ790" i="3"/>
  <c r="EO790" i="3" s="1"/>
  <c r="DJ791" i="3"/>
  <c r="EO791" i="3" s="1"/>
  <c r="DJ792" i="3"/>
  <c r="DJ793" i="3"/>
  <c r="EO793" i="3" s="1"/>
  <c r="DJ794" i="3"/>
  <c r="EO794" i="3" s="1"/>
  <c r="DJ795" i="3"/>
  <c r="EO795" i="3" s="1"/>
  <c r="DJ796" i="3"/>
  <c r="EO796" i="3" s="1"/>
  <c r="AJ1001" i="3"/>
  <c r="AJ1007" i="3"/>
  <c r="AJ1011" i="3"/>
  <c r="AJ1013" i="3"/>
  <c r="AJ1032" i="3"/>
  <c r="AJ1041" i="3"/>
  <c r="CG719" i="3"/>
  <c r="CI719" i="3"/>
  <c r="CG720" i="3"/>
  <c r="CI720" i="3" s="1"/>
  <c r="CG721" i="3"/>
  <c r="CI721" i="3"/>
  <c r="CG722" i="3"/>
  <c r="CI722" i="3" s="1"/>
  <c r="CG723" i="3"/>
  <c r="CI723" i="3"/>
  <c r="CG724" i="3"/>
  <c r="CI724" i="3" s="1"/>
  <c r="CG725" i="3"/>
  <c r="CI725" i="3" s="1"/>
  <c r="CG726" i="3"/>
  <c r="CI726" i="3" s="1"/>
  <c r="CG727" i="3"/>
  <c r="CI727" i="3" s="1"/>
  <c r="CG728" i="3"/>
  <c r="CI728" i="3" s="1"/>
  <c r="CG729" i="3"/>
  <c r="CI729" i="3" s="1"/>
  <c r="CG730" i="3"/>
  <c r="CI730" i="3"/>
  <c r="CG731" i="3"/>
  <c r="CI731" i="3"/>
  <c r="CG732" i="3"/>
  <c r="CI732" i="3" s="1"/>
  <c r="CG733" i="3"/>
  <c r="CI733" i="3" s="1"/>
  <c r="CG734" i="3"/>
  <c r="CI734" i="3" s="1"/>
  <c r="CG735" i="3"/>
  <c r="CI735" i="3" s="1"/>
  <c r="CG736" i="3"/>
  <c r="CI736" i="3" s="1"/>
  <c r="CG737" i="3"/>
  <c r="CI737" i="3" s="1"/>
  <c r="CG738" i="3"/>
  <c r="CI738" i="3" s="1"/>
  <c r="CG739" i="3"/>
  <c r="CI739" i="3" s="1"/>
  <c r="CG740" i="3"/>
  <c r="CI740" i="3" s="1"/>
  <c r="CG752" i="3"/>
  <c r="CI752" i="3"/>
  <c r="CK718" i="3"/>
  <c r="CM718" i="3"/>
  <c r="CK719" i="3"/>
  <c r="CM719" i="3" s="1"/>
  <c r="CK720" i="3"/>
  <c r="CM720" i="3" s="1"/>
  <c r="CK721" i="3"/>
  <c r="CM721" i="3" s="1"/>
  <c r="CK722" i="3"/>
  <c r="CM722" i="3" s="1"/>
  <c r="CK723" i="3"/>
  <c r="CM723" i="3"/>
  <c r="CK724" i="3"/>
  <c r="CM724" i="3" s="1"/>
  <c r="CK725" i="3"/>
  <c r="CM725" i="3"/>
  <c r="CK726" i="3"/>
  <c r="CM726" i="3" s="1"/>
  <c r="CK727" i="3"/>
  <c r="CM727" i="3" s="1"/>
  <c r="CK728" i="3"/>
  <c r="CM728" i="3" s="1"/>
  <c r="CK729" i="3"/>
  <c r="CM729" i="3" s="1"/>
  <c r="CK730" i="3"/>
  <c r="CM730" i="3"/>
  <c r="CK731" i="3"/>
  <c r="CM731" i="3" s="1"/>
  <c r="CK732" i="3"/>
  <c r="CM732" i="3" s="1"/>
  <c r="CK733" i="3"/>
  <c r="CM733" i="3" s="1"/>
  <c r="CK734" i="3"/>
  <c r="CM734" i="3" s="1"/>
  <c r="CK735" i="3"/>
  <c r="CM735" i="3" s="1"/>
  <c r="CK736" i="3"/>
  <c r="CM736" i="3" s="1"/>
  <c r="CK737" i="3"/>
  <c r="CM737" i="3"/>
  <c r="CK738" i="3"/>
  <c r="CM738" i="3" s="1"/>
  <c r="CK739" i="3"/>
  <c r="CM739" i="3" s="1"/>
  <c r="CK740" i="3"/>
  <c r="CM740" i="3" s="1"/>
  <c r="CK752" i="3"/>
  <c r="CM752" i="3" s="1"/>
  <c r="AO639" i="3"/>
  <c r="AD64" i="15"/>
  <c r="W700" i="3"/>
  <c r="BE69" i="3" s="1"/>
  <c r="BG226" i="3"/>
  <c r="BG227" i="3"/>
  <c r="BG228" i="3"/>
  <c r="BG229" i="3"/>
  <c r="BG230" i="3"/>
  <c r="BG243" i="3" s="1"/>
  <c r="BO245" i="3" s="1"/>
  <c r="T267" i="3" s="1"/>
  <c r="BG232" i="3"/>
  <c r="BG233" i="3"/>
  <c r="BG234" i="3"/>
  <c r="BG236" i="3"/>
  <c r="BG237" i="3"/>
  <c r="BG238" i="3"/>
  <c r="BG239" i="3"/>
  <c r="BG240" i="3"/>
  <c r="BG241" i="3"/>
  <c r="M232" i="3"/>
  <c r="AG450" i="3"/>
  <c r="BE24" i="3" s="1"/>
  <c r="O797" i="3"/>
  <c r="AC884" i="3" s="1"/>
  <c r="AP106" i="20"/>
  <c r="BF718" i="3"/>
  <c r="BF719" i="3"/>
  <c r="BF753" i="3" s="1"/>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c r="AK338" i="20" s="1"/>
  <c r="AO31" i="20"/>
  <c r="AO32" i="20" s="1"/>
  <c r="AO39" i="20" s="1"/>
  <c r="AK62" i="20" s="1"/>
  <c r="AO21" i="20"/>
  <c r="AO20" i="20"/>
  <c r="AO16" i="20"/>
  <c r="AO15" i="20"/>
  <c r="AO14" i="20"/>
  <c r="G131" i="21"/>
  <c r="G128" i="21"/>
  <c r="E130" i="21"/>
  <c r="S26" i="4"/>
  <c r="C26" i="4"/>
  <c r="G72" i="21"/>
  <c r="G78" i="21" s="1"/>
  <c r="G109" i="21"/>
  <c r="M20" i="21"/>
  <c r="M21" i="21"/>
  <c r="M22" i="21"/>
  <c r="M23" i="21"/>
  <c r="M24" i="21"/>
  <c r="O24" i="21" s="1"/>
  <c r="M25" i="21"/>
  <c r="T25" i="21" s="1"/>
  <c r="M26" i="21"/>
  <c r="O26" i="21"/>
  <c r="M27" i="21"/>
  <c r="O27" i="21"/>
  <c r="M28" i="21"/>
  <c r="O28" i="21" s="1"/>
  <c r="M29" i="21"/>
  <c r="O29" i="21" s="1"/>
  <c r="M30" i="21"/>
  <c r="U30" i="21" s="1"/>
  <c r="M31" i="21"/>
  <c r="U31" i="21" s="1"/>
  <c r="O31" i="21"/>
  <c r="M32" i="21"/>
  <c r="O32" i="21" s="1"/>
  <c r="M33" i="21"/>
  <c r="M34" i="21"/>
  <c r="O34" i="21" s="1"/>
  <c r="M35" i="21"/>
  <c r="O35" i="21" s="1"/>
  <c r="M36" i="21"/>
  <c r="O36" i="21" s="1"/>
  <c r="M37" i="21"/>
  <c r="M38" i="21"/>
  <c r="O38" i="21" s="1"/>
  <c r="M39" i="21"/>
  <c r="O39" i="21"/>
  <c r="M40" i="21"/>
  <c r="R40" i="21" s="1" a="1"/>
  <c r="R40" i="21" s="1"/>
  <c r="M41" i="21"/>
  <c r="O41" i="21" s="1"/>
  <c r="M42" i="21"/>
  <c r="O42" i="21" s="1"/>
  <c r="M43" i="21"/>
  <c r="O43" i="21"/>
  <c r="L97" i="21"/>
  <c r="L98" i="21"/>
  <c r="L99" i="21"/>
  <c r="L101" i="21"/>
  <c r="L102" i="21"/>
  <c r="L103" i="21"/>
  <c r="L104" i="21"/>
  <c r="G99" i="21" s="1"/>
  <c r="L20" i="21"/>
  <c r="L21" i="21"/>
  <c r="L22" i="21"/>
  <c r="R22" i="21" s="1" a="1"/>
  <c r="R22" i="21" s="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c r="B5" i="8"/>
  <c r="G5" i="8" s="1"/>
  <c r="B6" i="8"/>
  <c r="G6" i="8" s="1"/>
  <c r="B10" i="8"/>
  <c r="G10" i="8" s="1"/>
  <c r="E88" i="21"/>
  <c r="E79" i="21"/>
  <c r="B35" i="21"/>
  <c r="B20" i="21"/>
  <c r="B7" i="8"/>
  <c r="G7" i="8"/>
  <c r="AK285" i="20"/>
  <c r="T814" i="20"/>
  <c r="AF814" i="20" s="1"/>
  <c r="BE78" i="3" s="1"/>
  <c r="B24" i="4"/>
  <c r="E24" i="4" s="1"/>
  <c r="R36" i="4"/>
  <c r="B36" i="4"/>
  <c r="B66" i="4"/>
  <c r="E66" i="4"/>
  <c r="R66" i="4"/>
  <c r="B67" i="4"/>
  <c r="E67" i="4"/>
  <c r="R67" i="4"/>
  <c r="B68" i="4"/>
  <c r="E68" i="4"/>
  <c r="R68" i="4" s="1"/>
  <c r="B69" i="4"/>
  <c r="E69" i="4" s="1"/>
  <c r="R69" i="4" s="1"/>
  <c r="A104" i="11"/>
  <c r="C101" i="11"/>
  <c r="C102" i="11"/>
  <c r="D102" i="11" s="1"/>
  <c r="C103" i="11"/>
  <c r="C104" i="11"/>
  <c r="B101" i="11"/>
  <c r="B105" i="11" s="1"/>
  <c r="D105" i="11" s="1"/>
  <c r="B102" i="11"/>
  <c r="B103" i="11"/>
  <c r="B104" i="11"/>
  <c r="D104" i="11" s="1"/>
  <c r="C85" i="11"/>
  <c r="C86" i="11"/>
  <c r="C87" i="11"/>
  <c r="C88" i="11"/>
  <c r="C89" i="11"/>
  <c r="C90" i="11"/>
  <c r="C91" i="11"/>
  <c r="C92" i="11"/>
  <c r="C93" i="11"/>
  <c r="D93" i="11" s="1"/>
  <c r="C94" i="11"/>
  <c r="C95" i="11"/>
  <c r="C96" i="11"/>
  <c r="D96" i="11" s="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B34" i="11"/>
  <c r="B35" i="11"/>
  <c r="B36" i="11"/>
  <c r="B37" i="11"/>
  <c r="B38" i="11"/>
  <c r="C24" i="11"/>
  <c r="C25" i="11"/>
  <c r="C26" i="11"/>
  <c r="B25" i="11"/>
  <c r="D25" i="11" s="1"/>
  <c r="B26" i="11"/>
  <c r="D70" i="4"/>
  <c r="C70" i="4"/>
  <c r="B70" i="13" s="1"/>
  <c r="C54" i="11"/>
  <c r="B54" i="11"/>
  <c r="AV121" i="20" a="1"/>
  <c r="AV121" i="20" s="1"/>
  <c r="AV120" i="20" a="1"/>
  <c r="AV120" i="20"/>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E99" i="4" s="1"/>
  <c r="G68" i="7"/>
  <c r="I68" i="7"/>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c r="O57" i="7" s="1"/>
  <c r="Q57" i="7" s="1"/>
  <c r="S57" i="7" s="1"/>
  <c r="U57" i="7" s="1"/>
  <c r="W57" i="7" s="1"/>
  <c r="Y57" i="7" s="1"/>
  <c r="AA57" i="7" s="1"/>
  <c r="AC57" i="7" s="1"/>
  <c r="AE57" i="7" s="1"/>
  <c r="AG57" i="7" s="1"/>
  <c r="G53" i="7"/>
  <c r="I53" i="7" s="1"/>
  <c r="K53" i="7"/>
  <c r="A61" i="15"/>
  <c r="BA479" i="3"/>
  <c r="BA470" i="3"/>
  <c r="I24" i="7"/>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0" i="11"/>
  <c r="C81" i="11"/>
  <c r="D81" i="11" s="1"/>
  <c r="B80" i="11"/>
  <c r="B81" i="11"/>
  <c r="I96" i="13"/>
  <c r="J96" i="13"/>
  <c r="J81" i="13"/>
  <c r="I81" i="13"/>
  <c r="G81" i="13"/>
  <c r="F81" i="13"/>
  <c r="D81" i="13"/>
  <c r="C81" i="13"/>
  <c r="H80" i="13"/>
  <c r="E80" i="13"/>
  <c r="B80" i="13"/>
  <c r="S70" i="4"/>
  <c r="E70" i="13"/>
  <c r="D81" i="4"/>
  <c r="F81" i="4"/>
  <c r="G81" i="4"/>
  <c r="H81" i="4"/>
  <c r="I81" i="4"/>
  <c r="J81" i="4"/>
  <c r="K81" i="4"/>
  <c r="L81" i="4"/>
  <c r="M81" i="4"/>
  <c r="N81" i="4"/>
  <c r="O81" i="4"/>
  <c r="P81" i="4"/>
  <c r="Q81" i="4"/>
  <c r="S81" i="4"/>
  <c r="T81" i="4"/>
  <c r="H81" i="13" s="1"/>
  <c r="C81" i="4"/>
  <c r="B81" i="13"/>
  <c r="B80" i="4"/>
  <c r="E80" i="4" s="1"/>
  <c r="A76" i="13"/>
  <c r="A61" i="13"/>
  <c r="A37" i="13"/>
  <c r="A25" i="13"/>
  <c r="A103" i="13"/>
  <c r="A95" i="13"/>
  <c r="A94" i="13"/>
  <c r="A93" i="13"/>
  <c r="B8" i="8"/>
  <c r="G8" i="8" s="1"/>
  <c r="B9" i="8"/>
  <c r="G9" i="8"/>
  <c r="B11" i="8"/>
  <c r="G11" i="8" s="1"/>
  <c r="B12" i="8"/>
  <c r="G12" i="8" s="1"/>
  <c r="B13" i="8"/>
  <c r="G13" i="8"/>
  <c r="B14" i="8"/>
  <c r="G14" i="8"/>
  <c r="B15" i="8"/>
  <c r="G15" i="8" s="1"/>
  <c r="B16" i="8"/>
  <c r="G16" i="8" s="1"/>
  <c r="B17" i="8"/>
  <c r="G17" i="8" s="1"/>
  <c r="B18" i="8"/>
  <c r="G18" i="8" s="1"/>
  <c r="B19" i="8"/>
  <c r="G19" i="8"/>
  <c r="B20" i="8"/>
  <c r="G20" i="8"/>
  <c r="B21" i="8"/>
  <c r="G21" i="8" s="1"/>
  <c r="B22" i="8"/>
  <c r="G22" i="8"/>
  <c r="B23" i="8"/>
  <c r="G23" i="8" s="1"/>
  <c r="B24" i="8"/>
  <c r="G24" i="8" s="1"/>
  <c r="B25" i="8"/>
  <c r="G25" i="8" s="1"/>
  <c r="B26" i="8"/>
  <c r="G26" i="8"/>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4" i="13"/>
  <c r="E79" i="13"/>
  <c r="E65" i="13"/>
  <c r="E53" i="13"/>
  <c r="E52" i="13"/>
  <c r="E51" i="13"/>
  <c r="E50" i="13"/>
  <c r="E49" i="13"/>
  <c r="E48" i="13"/>
  <c r="E47" i="13"/>
  <c r="E46" i="13"/>
  <c r="E45" i="13"/>
  <c r="E43" i="13"/>
  <c r="E41"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D63" i="13" s="1"/>
  <c r="D97" i="13" s="1"/>
  <c r="D105" i="13" s="1"/>
  <c r="C11" i="13"/>
  <c r="C12" i="13" s="1"/>
  <c r="C8" i="13"/>
  <c r="D8" i="13"/>
  <c r="T104" i="4"/>
  <c r="H104" i="13" s="1"/>
  <c r="B103" i="4"/>
  <c r="E103" i="4" s="1"/>
  <c r="R103" i="4" s="1"/>
  <c r="B102" i="4"/>
  <c r="E102" i="4" s="1"/>
  <c r="R102" i="4" s="1"/>
  <c r="B101" i="4"/>
  <c r="E101" i="4"/>
  <c r="R101" i="4" s="1"/>
  <c r="B95" i="4"/>
  <c r="E95" i="4" s="1"/>
  <c r="R95" i="4" s="1"/>
  <c r="B86" i="4"/>
  <c r="N188" i="23" s="1"/>
  <c r="B85" i="4"/>
  <c r="E85" i="4"/>
  <c r="R85" i="4" s="1"/>
  <c r="B83" i="4"/>
  <c r="E83" i="4" s="1"/>
  <c r="R83" i="4" s="1"/>
  <c r="B57" i="4"/>
  <c r="E57" i="4" s="1"/>
  <c r="R57" i="4" s="1"/>
  <c r="B52" i="4"/>
  <c r="E52" i="4"/>
  <c r="R52" i="4"/>
  <c r="B51" i="4"/>
  <c r="E51" i="4"/>
  <c r="R51" i="4" s="1"/>
  <c r="B50" i="4"/>
  <c r="E50" i="4" s="1"/>
  <c r="R50" i="4" s="1"/>
  <c r="R27" i="4"/>
  <c r="B17" i="4"/>
  <c r="E17" i="4" s="1"/>
  <c r="R17" i="4" s="1"/>
  <c r="B14" i="4"/>
  <c r="E14" i="4" s="1"/>
  <c r="R14" i="4" s="1"/>
  <c r="B5" i="11"/>
  <c r="C5" i="11"/>
  <c r="B6" i="11"/>
  <c r="C6" i="11"/>
  <c r="B7" i="11"/>
  <c r="B9" i="11" s="1"/>
  <c r="C7" i="11"/>
  <c r="D7" i="11" s="1"/>
  <c r="C8" i="11"/>
  <c r="B8" i="11"/>
  <c r="B10" i="11"/>
  <c r="D10" i="11" s="1"/>
  <c r="B11" i="11"/>
  <c r="C10" i="11"/>
  <c r="C12" i="11" s="1"/>
  <c r="C11" i="11"/>
  <c r="B14" i="11"/>
  <c r="C14" i="11"/>
  <c r="B15" i="11"/>
  <c r="C15" i="11"/>
  <c r="B16" i="11"/>
  <c r="C16" i="11"/>
  <c r="D16" i="11" s="1"/>
  <c r="B18" i="11"/>
  <c r="C18" i="11"/>
  <c r="B19" i="11"/>
  <c r="B27" i="11" s="1"/>
  <c r="C19" i="11"/>
  <c r="B20" i="11"/>
  <c r="C20" i="11"/>
  <c r="B21" i="11"/>
  <c r="C21" i="11"/>
  <c r="B22" i="11"/>
  <c r="C22" i="11"/>
  <c r="B23" i="11"/>
  <c r="C23" i="11"/>
  <c r="D23" i="11" s="1"/>
  <c r="B24" i="11"/>
  <c r="B28" i="11"/>
  <c r="C28" i="11"/>
  <c r="D28" i="11" s="1"/>
  <c r="B30" i="11"/>
  <c r="C30" i="11"/>
  <c r="B41" i="11"/>
  <c r="C41" i="11"/>
  <c r="C42" i="11"/>
  <c r="B42" i="11"/>
  <c r="B44" i="11"/>
  <c r="C44" i="11"/>
  <c r="D44" i="11" s="1"/>
  <c r="B46" i="11"/>
  <c r="B55" i="11" s="1"/>
  <c r="C46" i="11"/>
  <c r="B47" i="11"/>
  <c r="C47" i="11"/>
  <c r="D47" i="11" s="1"/>
  <c r="B48" i="11"/>
  <c r="B49" i="11"/>
  <c r="B50" i="11"/>
  <c r="B51" i="11"/>
  <c r="D51" i="11" s="1"/>
  <c r="B52" i="11"/>
  <c r="B53" i="11"/>
  <c r="C48" i="11"/>
  <c r="C49" i="11"/>
  <c r="C50" i="11"/>
  <c r="D50" i="11" s="1"/>
  <c r="C51" i="11"/>
  <c r="C52" i="11"/>
  <c r="C53" i="11"/>
  <c r="D53" i="11" s="1"/>
  <c r="B57" i="11"/>
  <c r="C57" i="11"/>
  <c r="B58" i="11"/>
  <c r="D58" i="11" s="1"/>
  <c r="C58" i="11"/>
  <c r="B59" i="11"/>
  <c r="C59" i="11"/>
  <c r="D59" i="11" s="1"/>
  <c r="B60" i="11"/>
  <c r="C60" i="11"/>
  <c r="B61" i="11"/>
  <c r="C61" i="11"/>
  <c r="B62" i="11"/>
  <c r="C62" i="11"/>
  <c r="D62" i="11" s="1"/>
  <c r="B66" i="11"/>
  <c r="C66" i="11"/>
  <c r="B73" i="11"/>
  <c r="D73" i="11" s="1"/>
  <c r="C73" i="11"/>
  <c r="B74" i="11"/>
  <c r="C74" i="11"/>
  <c r="B75" i="11"/>
  <c r="C75" i="11"/>
  <c r="B76" i="11"/>
  <c r="D76" i="11" s="1"/>
  <c r="C76" i="11"/>
  <c r="B77" i="11"/>
  <c r="C77" i="11"/>
  <c r="D77" i="11" s="1"/>
  <c r="B84" i="11"/>
  <c r="C84" i="11"/>
  <c r="C97" i="11" s="1"/>
  <c r="B100" i="11"/>
  <c r="C100" i="11"/>
  <c r="A4" i="8"/>
  <c r="D4" i="8"/>
  <c r="I4" i="8" s="1"/>
  <c r="J4" i="8" s="1"/>
  <c r="J40" i="8" s="1"/>
  <c r="A5" i="8"/>
  <c r="D5" i="8"/>
  <c r="I5" i="8" s="1"/>
  <c r="J5" i="8" s="1"/>
  <c r="A6" i="8"/>
  <c r="D6" i="8"/>
  <c r="A7" i="8"/>
  <c r="D7" i="8"/>
  <c r="I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c r="T54" i="4"/>
  <c r="T70" i="4"/>
  <c r="H70" i="13"/>
  <c r="T96" i="4"/>
  <c r="H96" i="13" s="1"/>
  <c r="C11" i="4"/>
  <c r="B11" i="13" s="1"/>
  <c r="B26" i="13"/>
  <c r="C38" i="4"/>
  <c r="B38" i="13"/>
  <c r="C54" i="4"/>
  <c r="B54" i="13" s="1"/>
  <c r="C62" i="4"/>
  <c r="B62" i="13" s="1"/>
  <c r="C77" i="4"/>
  <c r="C96" i="4"/>
  <c r="B96" i="13"/>
  <c r="D8" i="4"/>
  <c r="D12" i="4" s="1"/>
  <c r="D11" i="4"/>
  <c r="D26" i="4"/>
  <c r="B26" i="4"/>
  <c r="D38" i="4"/>
  <c r="D42" i="4"/>
  <c r="D54" i="4"/>
  <c r="D62" i="4"/>
  <c r="D77" i="4"/>
  <c r="D96" i="4"/>
  <c r="D104" i="4"/>
  <c r="S38" i="4"/>
  <c r="E38" i="13" s="1"/>
  <c r="S54" i="4"/>
  <c r="E54" i="13"/>
  <c r="S104" i="4"/>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2" i="4" s="1"/>
  <c r="J11" i="4"/>
  <c r="J26" i="4"/>
  <c r="J38" i="4"/>
  <c r="J42" i="4"/>
  <c r="J54" i="4"/>
  <c r="J62" i="4"/>
  <c r="J70" i="4"/>
  <c r="J77" i="4"/>
  <c r="J96" i="4"/>
  <c r="J104" i="4"/>
  <c r="K8" i="4"/>
  <c r="K11" i="4"/>
  <c r="L8" i="4"/>
  <c r="L11" i="4"/>
  <c r="M8" i="4"/>
  <c r="M11" i="4"/>
  <c r="M63" i="4" s="1"/>
  <c r="M97" i="4" s="1"/>
  <c r="M105" i="4" s="1"/>
  <c r="N8" i="4"/>
  <c r="O8" i="4"/>
  <c r="Q8" i="4"/>
  <c r="Q11" i="4"/>
  <c r="B9" i="4"/>
  <c r="E9" i="4"/>
  <c r="B10" i="4"/>
  <c r="E10" i="4" s="1"/>
  <c r="R10" i="4" s="1"/>
  <c r="F11" i="4"/>
  <c r="F26" i="4"/>
  <c r="F42" i="4"/>
  <c r="F54" i="4"/>
  <c r="F62" i="4"/>
  <c r="N11" i="4"/>
  <c r="O11" i="4"/>
  <c r="B13" i="4"/>
  <c r="E13" i="4" s="1"/>
  <c r="R13" i="4" s="1"/>
  <c r="B15" i="4"/>
  <c r="B18" i="4"/>
  <c r="E18" i="4" s="1"/>
  <c r="R18" i="4" s="1"/>
  <c r="B19" i="4"/>
  <c r="E19" i="4" s="1"/>
  <c r="R19" i="4" s="1"/>
  <c r="B20" i="4"/>
  <c r="E20" i="4"/>
  <c r="R20" i="4" s="1"/>
  <c r="B21" i="4"/>
  <c r="E21" i="4"/>
  <c r="R21" i="4" s="1"/>
  <c r="B22" i="4"/>
  <c r="E22" i="4" s="1"/>
  <c r="R22" i="4" s="1"/>
  <c r="B23" i="4"/>
  <c r="E23" i="4"/>
  <c r="R23" i="4" s="1"/>
  <c r="B25" i="4"/>
  <c r="E25" i="4"/>
  <c r="R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B30" i="4"/>
  <c r="B31" i="4"/>
  <c r="E31" i="4" s="1"/>
  <c r="R31" i="4"/>
  <c r="B32" i="4"/>
  <c r="E32" i="4" s="1"/>
  <c r="R32" i="4" s="1"/>
  <c r="B33" i="4"/>
  <c r="E33" i="4" s="1"/>
  <c r="R33" i="4" s="1"/>
  <c r="B34" i="4"/>
  <c r="R34" i="4"/>
  <c r="B35" i="4"/>
  <c r="E35" i="4" s="1"/>
  <c r="R35" i="4" s="1"/>
  <c r="B37" i="4"/>
  <c r="G38" i="4"/>
  <c r="H38" i="4"/>
  <c r="K38" i="4"/>
  <c r="L38" i="4"/>
  <c r="O38" i="4"/>
  <c r="P38" i="4"/>
  <c r="P42" i="4"/>
  <c r="P54" i="4"/>
  <c r="P62" i="4"/>
  <c r="P70" i="4"/>
  <c r="P77" i="4"/>
  <c r="P96" i="4"/>
  <c r="P104" i="4"/>
  <c r="Q38" i="4"/>
  <c r="B40" i="4"/>
  <c r="E40" i="4" s="1"/>
  <c r="R40" i="4" s="1"/>
  <c r="R42" i="4" s="1"/>
  <c r="B41" i="4"/>
  <c r="E41" i="4" s="1"/>
  <c r="R41" i="4" s="1"/>
  <c r="G42" i="4"/>
  <c r="H42" i="4"/>
  <c r="K42" i="4"/>
  <c r="L42" i="4"/>
  <c r="O42" i="4"/>
  <c r="Q42" i="4"/>
  <c r="B43" i="4"/>
  <c r="E43" i="4" s="1"/>
  <c r="R43" i="4" s="1"/>
  <c r="B45" i="4"/>
  <c r="E45" i="4" s="1"/>
  <c r="B46" i="4"/>
  <c r="E46" i="4" s="1"/>
  <c r="R46" i="4" s="1"/>
  <c r="B47" i="4"/>
  <c r="E47" i="4" s="1"/>
  <c r="R47" i="4" s="1"/>
  <c r="B48" i="4"/>
  <c r="E48" i="4" s="1"/>
  <c r="R48" i="4" s="1"/>
  <c r="B49" i="4"/>
  <c r="E49" i="4"/>
  <c r="R49" i="4" s="1"/>
  <c r="B53" i="4"/>
  <c r="E53" i="4"/>
  <c r="R53" i="4" s="1"/>
  <c r="G54" i="4"/>
  <c r="H54" i="4"/>
  <c r="K54" i="4"/>
  <c r="L54" i="4"/>
  <c r="O54" i="4"/>
  <c r="Q54" i="4"/>
  <c r="B56" i="4"/>
  <c r="E56" i="4" s="1"/>
  <c r="R56" i="4" s="1"/>
  <c r="B58" i="4"/>
  <c r="E58" i="4" s="1"/>
  <c r="R58" i="4" s="1"/>
  <c r="B60" i="4"/>
  <c r="E60" i="4" s="1"/>
  <c r="R60" i="4" s="1"/>
  <c r="B61" i="4"/>
  <c r="E61" i="4" s="1"/>
  <c r="R61" i="4" s="1"/>
  <c r="G62" i="4"/>
  <c r="H62" i="4"/>
  <c r="K62" i="4"/>
  <c r="L62" i="4"/>
  <c r="O62" i="4"/>
  <c r="O70" i="4"/>
  <c r="O77" i="4"/>
  <c r="O96" i="4"/>
  <c r="O104" i="4"/>
  <c r="Q62" i="4"/>
  <c r="B65" i="4"/>
  <c r="E65" i="4" s="1"/>
  <c r="F70" i="4"/>
  <c r="G70" i="4"/>
  <c r="H70" i="4"/>
  <c r="I70" i="4"/>
  <c r="K70" i="4"/>
  <c r="L70" i="4"/>
  <c r="Q70" i="4"/>
  <c r="B72" i="4"/>
  <c r="E72" i="4" s="1"/>
  <c r="R72" i="4" s="1"/>
  <c r="B73" i="4"/>
  <c r="E73" i="4" s="1"/>
  <c r="B74" i="4"/>
  <c r="E74" i="4" s="1"/>
  <c r="R74" i="4" s="1"/>
  <c r="B75" i="4"/>
  <c r="E75" i="4" s="1"/>
  <c r="R75" i="4" s="1"/>
  <c r="B76" i="4"/>
  <c r="E76" i="4"/>
  <c r="R76" i="4" s="1"/>
  <c r="F77" i="4"/>
  <c r="G77" i="4"/>
  <c r="H77" i="4"/>
  <c r="I77" i="4"/>
  <c r="K77" i="4"/>
  <c r="L77" i="4"/>
  <c r="Q77" i="4"/>
  <c r="B79" i="4"/>
  <c r="E79" i="4" s="1"/>
  <c r="B84" i="4"/>
  <c r="E84" i="4" s="1"/>
  <c r="B87" i="4"/>
  <c r="E87" i="4"/>
  <c r="R87" i="4" s="1"/>
  <c r="B88" i="4"/>
  <c r="E88" i="4" s="1"/>
  <c r="R88" i="4" s="1"/>
  <c r="B89" i="4"/>
  <c r="E89" i="4"/>
  <c r="R89" i="4" s="1"/>
  <c r="B90" i="4"/>
  <c r="E90" i="4" s="1"/>
  <c r="R90" i="4" s="1"/>
  <c r="B91" i="4"/>
  <c r="E91" i="4" s="1"/>
  <c r="R91" i="4" s="1"/>
  <c r="B92" i="4"/>
  <c r="E92" i="4" s="1"/>
  <c r="R92" i="4" s="1"/>
  <c r="B93" i="4"/>
  <c r="E93" i="4" s="1"/>
  <c r="R93" i="4" s="1"/>
  <c r="B94" i="4"/>
  <c r="E94" i="4" s="1"/>
  <c r="R94" i="4" s="1"/>
  <c r="F96" i="4"/>
  <c r="G96" i="4"/>
  <c r="H96" i="4"/>
  <c r="I96" i="4"/>
  <c r="K96" i="4"/>
  <c r="L96" i="4"/>
  <c r="Q96" i="4"/>
  <c r="F104" i="4"/>
  <c r="G104" i="4"/>
  <c r="H104" i="4"/>
  <c r="I104" i="4"/>
  <c r="K104" i="4"/>
  <c r="L104" i="4"/>
  <c r="Q104" i="4"/>
  <c r="E108" i="4"/>
  <c r="F108" i="4"/>
  <c r="G108" i="4"/>
  <c r="H108" i="4"/>
  <c r="I108" i="4"/>
  <c r="J108" i="4"/>
  <c r="K108" i="4"/>
  <c r="L108" i="4"/>
  <c r="M108" i="4"/>
  <c r="N108" i="4"/>
  <c r="O108" i="4"/>
  <c r="P108" i="4"/>
  <c r="Q108" i="4"/>
  <c r="B131" i="4"/>
  <c r="I184" i="3"/>
  <c r="W418" i="3"/>
  <c r="AF418" i="3"/>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U753" i="3" s="1"/>
  <c r="DZ718" i="3"/>
  <c r="EE718" i="3"/>
  <c r="EJ718" i="3"/>
  <c r="EO718" i="3"/>
  <c r="ET718" i="3"/>
  <c r="DU719" i="3"/>
  <c r="DZ719" i="3"/>
  <c r="EE719" i="3"/>
  <c r="EE753" i="3" s="1"/>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c r="X720" i="3"/>
  <c r="X721" i="3"/>
  <c r="AH721" i="3" s="1"/>
  <c r="X722" i="3"/>
  <c r="X723" i="3"/>
  <c r="X724" i="3"/>
  <c r="X730" i="3"/>
  <c r="X731" i="3"/>
  <c r="X732" i="3"/>
  <c r="X733" i="3"/>
  <c r="X734" i="3"/>
  <c r="X735" i="3"/>
  <c r="X736" i="3"/>
  <c r="X737" i="3"/>
  <c r="X738" i="3"/>
  <c r="X739" i="3"/>
  <c r="X740" i="3"/>
  <c r="X741" i="3"/>
  <c r="M832" i="3"/>
  <c r="Q832" i="3"/>
  <c r="U832" i="3"/>
  <c r="Y832" i="3"/>
  <c r="AC832" i="3"/>
  <c r="AG832" i="3"/>
  <c r="Z902" i="3"/>
  <c r="F30" i="4"/>
  <c r="F38" i="4" s="1"/>
  <c r="R37" i="4"/>
  <c r="R79" i="4"/>
  <c r="D36" i="11"/>
  <c r="D86" i="11"/>
  <c r="D34" i="11"/>
  <c r="D91" i="11"/>
  <c r="D54" i="11"/>
  <c r="D90" i="11"/>
  <c r="D85" i="11"/>
  <c r="D89" i="11"/>
  <c r="D32" i="11"/>
  <c r="D92" i="11"/>
  <c r="D88" i="11"/>
  <c r="G144" i="21"/>
  <c r="G143" i="21"/>
  <c r="C105" i="11"/>
  <c r="C12" i="4"/>
  <c r="B12" i="13" s="1"/>
  <c r="D38" i="11"/>
  <c r="D49" i="11"/>
  <c r="D20" i="11"/>
  <c r="D8" i="11"/>
  <c r="D100" i="11"/>
  <c r="D74" i="11"/>
  <c r="D5" i="11"/>
  <c r="N63" i="4"/>
  <c r="N97" i="4" s="1"/>
  <c r="N105" i="4" s="1"/>
  <c r="D24" i="11"/>
  <c r="B43" i="11"/>
  <c r="D80" i="11"/>
  <c r="D31" i="11"/>
  <c r="N12" i="4"/>
  <c r="C71" i="11"/>
  <c r="B81" i="4"/>
  <c r="D52" i="11"/>
  <c r="D18" i="11"/>
  <c r="B11" i="4"/>
  <c r="C39" i="11"/>
  <c r="M12" i="4"/>
  <c r="D14" i="11"/>
  <c r="M53" i="7"/>
  <c r="B82" i="11"/>
  <c r="B38" i="4"/>
  <c r="E104" i="13"/>
  <c r="J7" i="8"/>
  <c r="S38" i="21"/>
  <c r="S36" i="21"/>
  <c r="S43" i="21"/>
  <c r="S35" i="21"/>
  <c r="U20" i="21"/>
  <c r="O20" i="21" s="1"/>
  <c r="P20" i="21" s="1" a="1"/>
  <c r="P20" i="21" s="1"/>
  <c r="S41" i="21"/>
  <c r="S33" i="21"/>
  <c r="S40" i="21"/>
  <c r="U32" i="21"/>
  <c r="S32" i="21"/>
  <c r="U24" i="21"/>
  <c r="U28" i="21"/>
  <c r="S39" i="21"/>
  <c r="AH720" i="3"/>
  <c r="T22" i="21"/>
  <c r="U22" i="21"/>
  <c r="U37" i="21"/>
  <c r="U29" i="21"/>
  <c r="T21" i="21"/>
  <c r="U21" i="21"/>
  <c r="O21" i="21" s="1"/>
  <c r="P21" i="21" s="1" a="1"/>
  <c r="P21" i="21" s="1"/>
  <c r="S21" i="21" s="1"/>
  <c r="U36" i="21"/>
  <c r="T43" i="21"/>
  <c r="U43" i="21"/>
  <c r="T35" i="21"/>
  <c r="U35" i="21"/>
  <c r="T27" i="21"/>
  <c r="U27" i="21"/>
  <c r="U38" i="21"/>
  <c r="U26" i="21"/>
  <c r="R41" i="21" a="1"/>
  <c r="R41" i="21" s="1"/>
  <c r="U41" i="21"/>
  <c r="R30" i="21" a="1"/>
  <c r="R30" i="21" s="1"/>
  <c r="T39" i="21"/>
  <c r="U39" i="21"/>
  <c r="T31" i="21"/>
  <c r="T23" i="21"/>
  <c r="U23" i="21"/>
  <c r="AO23" i="20"/>
  <c r="AY1024" i="3"/>
  <c r="AF1017" i="3" s="1"/>
  <c r="AF1014" i="3"/>
  <c r="C63" i="4"/>
  <c r="AA29" i="7"/>
  <c r="O29" i="7"/>
  <c r="AY1003" i="3"/>
  <c r="I1048" i="3"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AJ1016" i="3"/>
  <c r="FE718" i="3"/>
  <c r="Y7" i="15"/>
  <c r="AI7" i="15"/>
  <c r="EZ718" i="3"/>
  <c r="AG29" i="7"/>
  <c r="AO641" i="3"/>
  <c r="K29" i="7"/>
  <c r="S29" i="7"/>
  <c r="AO18" i="20"/>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c r="U27" i="7" s="1"/>
  <c r="W27" i="7" s="1"/>
  <c r="Y27" i="7" s="1"/>
  <c r="AA27" i="7" s="1"/>
  <c r="AC27" i="7" s="1"/>
  <c r="AE27" i="7" s="1"/>
  <c r="AG27" i="7" s="1"/>
  <c r="I29" i="7"/>
  <c r="R28" i="21" a="1"/>
  <c r="R28" i="21"/>
  <c r="T24" i="21"/>
  <c r="D26" i="11"/>
  <c r="T30" i="21"/>
  <c r="T7" i="15"/>
  <c r="AC29" i="7"/>
  <c r="M29" i="7"/>
  <c r="G29" i="7"/>
  <c r="Q29" i="7"/>
  <c r="AE29" i="7"/>
  <c r="P36" i="21" a="1"/>
  <c r="P36" i="21" s="1"/>
  <c r="T28" i="21"/>
  <c r="W29" i="7"/>
  <c r="P40" i="21" a="1"/>
  <c r="P40" i="21" s="1"/>
  <c r="U29" i="7"/>
  <c r="T36" i="21"/>
  <c r="AD68" i="15"/>
  <c r="CU777" i="3"/>
  <c r="CY778" i="3"/>
  <c r="CZ777" i="3"/>
  <c r="DD778" i="3" s="1"/>
  <c r="DE777" i="3"/>
  <c r="DI778" i="3" s="1"/>
  <c r="R39" i="21" a="1"/>
  <c r="R39" i="21" s="1"/>
  <c r="R27" i="21" a="1"/>
  <c r="R27" i="21" s="1"/>
  <c r="G8" i="7"/>
  <c r="R35" i="21" a="1"/>
  <c r="R35" i="21" s="1"/>
  <c r="R43" i="21" a="1"/>
  <c r="R43" i="21" s="1"/>
  <c r="R31" i="21" a="1"/>
  <c r="R31" i="21" s="1"/>
  <c r="R988" i="3"/>
  <c r="R987" i="3"/>
  <c r="R986" i="3"/>
  <c r="T41" i="21"/>
  <c r="E105" i="20"/>
  <c r="R23" i="21" a="1"/>
  <c r="R23" i="21"/>
  <c r="E104" i="20"/>
  <c r="P41" i="21" a="1"/>
  <c r="P41" i="21" s="1"/>
  <c r="R29" i="21" a="1"/>
  <c r="R29" i="21" s="1"/>
  <c r="P35" i="21" a="1"/>
  <c r="P35" i="21" s="1"/>
  <c r="R990" i="3"/>
  <c r="CZ797" i="3"/>
  <c r="DD798" i="3" s="1"/>
  <c r="EE794" i="3"/>
  <c r="R32" i="21" a="1"/>
  <c r="R32" i="21" s="1"/>
  <c r="P32" i="21" a="1"/>
  <c r="P32" i="21" s="1"/>
  <c r="T32" i="21"/>
  <c r="T26" i="21"/>
  <c r="R26" i="21" a="1"/>
  <c r="R26" i="21" s="1"/>
  <c r="R37" i="21" a="1"/>
  <c r="R37" i="21" s="1"/>
  <c r="DE753" i="3"/>
  <c r="AX691" i="20" s="1"/>
  <c r="EO787" i="3"/>
  <c r="DU790" i="3"/>
  <c r="P39" i="21" a="1"/>
  <c r="P39" i="21"/>
  <c r="R36" i="21" a="1"/>
  <c r="R36" i="21" s="1"/>
  <c r="T38" i="21"/>
  <c r="T29" i="21"/>
  <c r="T20" i="21"/>
  <c r="P38" i="21" a="1"/>
  <c r="P38" i="21" s="1"/>
  <c r="R38" i="21" a="1"/>
  <c r="R38" i="21" s="1"/>
  <c r="R20" i="21" a="1"/>
  <c r="R20" i="21" s="1"/>
  <c r="P33" i="21" a="1"/>
  <c r="P33" i="21"/>
  <c r="G19" i="7"/>
  <c r="R33" i="21" a="1"/>
  <c r="R33" i="21" s="1"/>
  <c r="R24" i="21" a="1"/>
  <c r="R24" i="21" s="1"/>
  <c r="E30" i="4"/>
  <c r="R30" i="4" s="1"/>
  <c r="O53" i="7"/>
  <c r="Q53" i="7" s="1"/>
  <c r="S53" i="7" s="1"/>
  <c r="U53" i="7" s="1"/>
  <c r="G130" i="21"/>
  <c r="G132" i="21" s="1"/>
  <c r="I16" i="21" s="1"/>
  <c r="BG743" i="3"/>
  <c r="BH743" i="3" s="1"/>
  <c r="DX667" i="3"/>
  <c r="I8" i="7"/>
  <c r="K8" i="7" s="1"/>
  <c r="M8" i="7" s="1"/>
  <c r="DX643" i="3"/>
  <c r="EM655" i="3"/>
  <c r="EM643" i="3"/>
  <c r="P29" i="21" a="1"/>
  <c r="P29" i="21" s="1"/>
  <c r="S29" i="21"/>
  <c r="P31" i="21" a="1"/>
  <c r="P31" i="21" s="1"/>
  <c r="S31" i="21"/>
  <c r="P30" i="21" a="1"/>
  <c r="P30" i="21" s="1"/>
  <c r="S30" i="21"/>
  <c r="P25" i="21" a="1"/>
  <c r="P25" i="21" s="1"/>
  <c r="P28" i="21" a="1"/>
  <c r="P28" i="21" s="1"/>
  <c r="S28" i="21"/>
  <c r="P27" i="21" a="1"/>
  <c r="P27" i="21" s="1"/>
  <c r="S27" i="21"/>
  <c r="P26" i="21" a="1"/>
  <c r="P26" i="21" s="1"/>
  <c r="S26" i="21"/>
  <c r="P24" i="21" a="1"/>
  <c r="P24" i="21" s="1"/>
  <c r="S24" i="21"/>
  <c r="S20" i="21"/>
  <c r="Y64" i="15"/>
  <c r="E43" i="7" l="1"/>
  <c r="G40" i="7"/>
  <c r="G43" i="7" s="1"/>
  <c r="AG40" i="7"/>
  <c r="AG43" i="7" s="1"/>
  <c r="AA40" i="7"/>
  <c r="Y40" i="7"/>
  <c r="S40" i="7"/>
  <c r="S43" i="7" s="1"/>
  <c r="M40" i="7"/>
  <c r="M43" i="7" s="1"/>
  <c r="K40" i="7"/>
  <c r="K43" i="7" s="1"/>
  <c r="AC40" i="7"/>
  <c r="U40" i="7"/>
  <c r="U43" i="7" s="1"/>
  <c r="I40" i="7"/>
  <c r="I43" i="7" s="1"/>
  <c r="AE40" i="7"/>
  <c r="AE43" i="7" s="1"/>
  <c r="Q40" i="7"/>
  <c r="Q43" i="7" s="1"/>
  <c r="W40" i="7"/>
  <c r="W43" i="7" s="1"/>
  <c r="O40" i="7"/>
  <c r="O43" i="7" s="1"/>
  <c r="T804" i="20"/>
  <c r="AF804" i="20" s="1"/>
  <c r="R84" i="4"/>
  <c r="BG727" i="3"/>
  <c r="BH727" i="3" s="1"/>
  <c r="BG718" i="3"/>
  <c r="BG729" i="3"/>
  <c r="BH729" i="3" s="1"/>
  <c r="BG745" i="3"/>
  <c r="BH745" i="3" s="1"/>
  <c r="BG723" i="3"/>
  <c r="BH723" i="3" s="1"/>
  <c r="ER637" i="3"/>
  <c r="R73" i="4"/>
  <c r="R77" i="4" s="1"/>
  <c r="E77" i="4"/>
  <c r="EJ797" i="3"/>
  <c r="Y800" i="3"/>
  <c r="Y801" i="3"/>
  <c r="E4" i="7" s="1"/>
  <c r="G4" i="7" s="1"/>
  <c r="DX663" i="3"/>
  <c r="E40" i="13"/>
  <c r="S42" i="4"/>
  <c r="E42" i="13" s="1"/>
  <c r="I19" i="7"/>
  <c r="K19" i="7" s="1"/>
  <c r="M19" i="7" s="1"/>
  <c r="O19" i="7" s="1"/>
  <c r="Q19" i="7" s="1"/>
  <c r="S19" i="7" s="1"/>
  <c r="U19" i="7" s="1"/>
  <c r="W19" i="7" s="1"/>
  <c r="Y19" i="7" s="1"/>
  <c r="AA19" i="7" s="1"/>
  <c r="AC19" i="7" s="1"/>
  <c r="AE19" i="7" s="1"/>
  <c r="AG19" i="7" s="1"/>
  <c r="M960" i="3"/>
  <c r="M961" i="3" s="1"/>
  <c r="Z809" i="3"/>
  <c r="E6" i="7" s="1"/>
  <c r="G6" i="7" s="1"/>
  <c r="DX636" i="3"/>
  <c r="DX659" i="3"/>
  <c r="DX637" i="3"/>
  <c r="DX641" i="3"/>
  <c r="DX647" i="3"/>
  <c r="DX652" i="3"/>
  <c r="DX662" i="3"/>
  <c r="DX639" i="3"/>
  <c r="E15" i="7"/>
  <c r="G15" i="7" s="1"/>
  <c r="I15" i="7" s="1"/>
  <c r="K15" i="7" s="1"/>
  <c r="M15" i="7" s="1"/>
  <c r="O15" i="7" s="1"/>
  <c r="AC883" i="3"/>
  <c r="AC885" i="3" s="1"/>
  <c r="ER655" i="3"/>
  <c r="ER649" i="3"/>
  <c r="ET797" i="3"/>
  <c r="T815" i="20"/>
  <c r="AF815" i="20" s="1"/>
  <c r="BE79" i="3" s="1"/>
  <c r="T816" i="20"/>
  <c r="AP587" i="20"/>
  <c r="Y607" i="20"/>
  <c r="S96" i="4"/>
  <c r="E96" i="13" s="1"/>
  <c r="E85" i="13"/>
  <c r="AD27" i="15"/>
  <c r="Y27" i="15"/>
  <c r="AI27" i="15"/>
  <c r="T27" i="15"/>
  <c r="EM636" i="3"/>
  <c r="FO753" i="3"/>
  <c r="DI755" i="3"/>
  <c r="E28" i="21"/>
  <c r="P42" i="21" a="1"/>
  <c r="P42" i="21" s="1"/>
  <c r="CU797" i="3"/>
  <c r="CY798" i="3" s="1"/>
  <c r="C798" i="3"/>
  <c r="B62" i="4"/>
  <c r="B104" i="4"/>
  <c r="C78" i="11"/>
  <c r="C63" i="11"/>
  <c r="D94" i="11"/>
  <c r="O40" i="21"/>
  <c r="O25" i="21"/>
  <c r="DU791" i="3"/>
  <c r="DU797" i="3" s="1"/>
  <c r="ET799" i="3" s="1"/>
  <c r="EZ723" i="3"/>
  <c r="EZ753" i="3" s="1"/>
  <c r="J22" i="23"/>
  <c r="AB29" i="23"/>
  <c r="BE6" i="3"/>
  <c r="AB225" i="20"/>
  <c r="AB234" i="20" s="1"/>
  <c r="AB250" i="20" s="1"/>
  <c r="AB252" i="20" s="1"/>
  <c r="AB254" i="20" s="1"/>
  <c r="AB260" i="20" s="1"/>
  <c r="AD209" i="20" s="1"/>
  <c r="E26" i="13"/>
  <c r="J63" i="13"/>
  <c r="J97" i="13" s="1"/>
  <c r="J105" i="13" s="1"/>
  <c r="J107" i="13" s="1"/>
  <c r="EM656" i="3"/>
  <c r="EM650" i="3"/>
  <c r="EM667" i="3"/>
  <c r="E26" i="21"/>
  <c r="U42" i="21"/>
  <c r="AA43" i="7"/>
  <c r="D60" i="11"/>
  <c r="D22" i="11"/>
  <c r="D15" i="11"/>
  <c r="D103" i="11"/>
  <c r="O30" i="21"/>
  <c r="G136" i="21"/>
  <c r="I17" i="21" s="1"/>
  <c r="J21" i="23"/>
  <c r="DJ753" i="3"/>
  <c r="U34" i="21"/>
  <c r="G60" i="21"/>
  <c r="R34" i="21" a="1"/>
  <c r="R34" i="21" s="1"/>
  <c r="DO797" i="3"/>
  <c r="U40" i="21"/>
  <c r="R42" i="21" a="1"/>
  <c r="R42" i="21" s="1"/>
  <c r="K63" i="4"/>
  <c r="K97" i="4" s="1"/>
  <c r="K105" i="4" s="1"/>
  <c r="F12" i="4"/>
  <c r="J63" i="4"/>
  <c r="J97" i="4" s="1"/>
  <c r="J105" i="4" s="1"/>
  <c r="Y43" i="7"/>
  <c r="D35" i="11"/>
  <c r="V29" i="23"/>
  <c r="EM653" i="3"/>
  <c r="P63" i="4"/>
  <c r="E86" i="4"/>
  <c r="R86" i="4" s="1"/>
  <c r="R96" i="4" s="1"/>
  <c r="E24" i="21"/>
  <c r="E27" i="21"/>
  <c r="T40" i="21"/>
  <c r="S34" i="21"/>
  <c r="D42" i="11"/>
  <c r="D101" i="11"/>
  <c r="CM753" i="3"/>
  <c r="X1052" i="3" s="1"/>
  <c r="EM669" i="3"/>
  <c r="AC889" i="3"/>
  <c r="E28" i="7" s="1"/>
  <c r="EM648" i="3"/>
  <c r="T34" i="21"/>
  <c r="DE802" i="3"/>
  <c r="AB989" i="3" s="1"/>
  <c r="AJ989" i="3" s="1"/>
  <c r="EM661" i="3"/>
  <c r="DE797" i="3"/>
  <c r="DI798" i="3" s="1"/>
  <c r="S42" i="21"/>
  <c r="C27" i="11"/>
  <c r="D12" i="13"/>
  <c r="K12" i="4"/>
  <c r="D21" i="11"/>
  <c r="B42" i="4"/>
  <c r="D33" i="11"/>
  <c r="EM644" i="3"/>
  <c r="EM645" i="3"/>
  <c r="T42" i="21"/>
  <c r="AO42" i="20"/>
  <c r="G63" i="4"/>
  <c r="G97" i="4" s="1"/>
  <c r="G105" i="4" s="1"/>
  <c r="BA1058" i="3"/>
  <c r="B8" i="4"/>
  <c r="AO71" i="20"/>
  <c r="AK84" i="20" s="1"/>
  <c r="R80" i="23"/>
  <c r="BD1051" i="3" a="1"/>
  <c r="BD1051" i="3" s="1"/>
  <c r="S25" i="21"/>
  <c r="U25" i="21"/>
  <c r="C63" i="13"/>
  <c r="C97" i="13" s="1"/>
  <c r="C105" i="13" s="1"/>
  <c r="R62" i="4"/>
  <c r="R93" i="23"/>
  <c r="EM640" i="3"/>
  <c r="EE797" i="3"/>
  <c r="I1052" i="3"/>
  <c r="P34" i="21" a="1"/>
  <c r="P34" i="21" s="1"/>
  <c r="R25" i="21" a="1"/>
  <c r="R25" i="21" s="1"/>
  <c r="B70" i="4"/>
  <c r="Q63" i="4"/>
  <c r="B97" i="11"/>
  <c r="D97" i="11" s="1"/>
  <c r="B71" i="11"/>
  <c r="D71" i="11" s="1"/>
  <c r="D19" i="11"/>
  <c r="D11" i="11"/>
  <c r="T808" i="20"/>
  <c r="AF808" i="20" s="1"/>
  <c r="BE75" i="3" s="1"/>
  <c r="AK535" i="20"/>
  <c r="T813" i="20" s="1"/>
  <c r="AF813" i="20" s="1"/>
  <c r="Y68" i="15"/>
  <c r="Y69" i="15" s="1"/>
  <c r="EM635" i="3"/>
  <c r="E25" i="21"/>
  <c r="F25" i="21" s="1"/>
  <c r="G25" i="21" s="1"/>
  <c r="Q12" i="4"/>
  <c r="W53" i="7"/>
  <c r="B63" i="13"/>
  <c r="C97" i="4"/>
  <c r="G94" i="21"/>
  <c r="AJ621" i="20"/>
  <c r="AK794" i="20" s="1"/>
  <c r="T819" i="20" s="1"/>
  <c r="AF819" i="20" s="1"/>
  <c r="BE82" i="3" s="1"/>
  <c r="BH718" i="3"/>
  <c r="B77" i="4"/>
  <c r="B77" i="13"/>
  <c r="FJ744" i="3"/>
  <c r="FJ753" i="3" s="1"/>
  <c r="CZ753" i="3"/>
  <c r="O8" i="7"/>
  <c r="AV122" i="20"/>
  <c r="AW120" i="20"/>
  <c r="G40" i="8"/>
  <c r="CI753" i="3"/>
  <c r="EO792" i="3"/>
  <c r="EO797" i="3" s="1"/>
  <c r="DJ797" i="3"/>
  <c r="FY739" i="3"/>
  <c r="DO753" i="3"/>
  <c r="I4" i="7"/>
  <c r="E54" i="4"/>
  <c r="R45" i="4"/>
  <c r="R54" i="4" s="1"/>
  <c r="BE23" i="3"/>
  <c r="E4" i="4"/>
  <c r="BE71" i="3"/>
  <c r="BG751" i="3"/>
  <c r="BH751" i="3" s="1"/>
  <c r="BG725" i="3"/>
  <c r="BH725" i="3" s="1"/>
  <c r="BG742" i="3"/>
  <c r="BH742" i="3" s="1"/>
  <c r="BG735" i="3"/>
  <c r="BH735" i="3" s="1"/>
  <c r="BG720" i="3"/>
  <c r="BH720" i="3" s="1"/>
  <c r="BG730" i="3"/>
  <c r="BH730" i="3" s="1"/>
  <c r="BG747" i="3"/>
  <c r="BH747" i="3" s="1"/>
  <c r="BG741" i="3"/>
  <c r="BH741" i="3" s="1"/>
  <c r="BG722" i="3"/>
  <c r="BH722" i="3" s="1"/>
  <c r="BG721" i="3"/>
  <c r="BH721" i="3" s="1"/>
  <c r="BG736" i="3"/>
  <c r="BH736" i="3" s="1"/>
  <c r="BG749" i="3"/>
  <c r="BH749" i="3" s="1"/>
  <c r="BG738" i="3"/>
  <c r="BH738" i="3" s="1"/>
  <c r="BG737" i="3"/>
  <c r="BH737" i="3" s="1"/>
  <c r="BG744" i="3"/>
  <c r="BH744" i="3" s="1"/>
  <c r="BG750" i="3"/>
  <c r="BH750" i="3" s="1"/>
  <c r="BG746" i="3"/>
  <c r="BH746" i="3" s="1"/>
  <c r="BG732" i="3"/>
  <c r="BH732" i="3" s="1"/>
  <c r="BG752" i="3"/>
  <c r="BH752" i="3" s="1"/>
  <c r="BG724" i="3"/>
  <c r="BH724" i="3" s="1"/>
  <c r="BG740" i="3"/>
  <c r="BH740" i="3" s="1"/>
  <c r="BG748" i="3"/>
  <c r="BH748" i="3" s="1"/>
  <c r="BG726" i="3"/>
  <c r="BH726" i="3" s="1"/>
  <c r="BG731" i="3"/>
  <c r="BH731" i="3" s="1"/>
  <c r="BG734" i="3"/>
  <c r="BH734" i="3" s="1"/>
  <c r="BG728" i="3"/>
  <c r="BH728" i="3" s="1"/>
  <c r="BG739" i="3"/>
  <c r="BH739" i="3" s="1"/>
  <c r="BG719" i="3"/>
  <c r="BH719" i="3" s="1"/>
  <c r="BG733" i="3"/>
  <c r="BH733" i="3" s="1"/>
  <c r="I6" i="7"/>
  <c r="ER662" i="3"/>
  <c r="ER643" i="3"/>
  <c r="ER639" i="3"/>
  <c r="ER644" i="3"/>
  <c r="ER654" i="3"/>
  <c r="ER661" i="3"/>
  <c r="ER653" i="3"/>
  <c r="ER663" i="3"/>
  <c r="DN755" i="3"/>
  <c r="ER657" i="3"/>
  <c r="ER660" i="3"/>
  <c r="ER636" i="3"/>
  <c r="ER645" i="3"/>
  <c r="ER647" i="3"/>
  <c r="ER656" i="3"/>
  <c r="ER650" i="3"/>
  <c r="ER651" i="3"/>
  <c r="ER648" i="3"/>
  <c r="ER667" i="3"/>
  <c r="ER646" i="3"/>
  <c r="ER668" i="3"/>
  <c r="ER659" i="3"/>
  <c r="ER640" i="3"/>
  <c r="ER642" i="3"/>
  <c r="ER666" i="3"/>
  <c r="ER652" i="3"/>
  <c r="ER658" i="3"/>
  <c r="ER641" i="3"/>
  <c r="AX692" i="20"/>
  <c r="ER635" i="3"/>
  <c r="AG1049" i="3"/>
  <c r="AY1006" i="3"/>
  <c r="L12" i="4"/>
  <c r="L63" i="4"/>
  <c r="L97" i="4" s="1"/>
  <c r="L105" i="4" s="1"/>
  <c r="R29" i="4"/>
  <c r="R38" i="4" s="1"/>
  <c r="E38" i="4"/>
  <c r="H54" i="13"/>
  <c r="T63" i="4"/>
  <c r="B78" i="11"/>
  <c r="D78" i="11" s="1"/>
  <c r="D75" i="11"/>
  <c r="D48" i="11"/>
  <c r="C55" i="11"/>
  <c r="D55" i="11" s="1"/>
  <c r="D6" i="11"/>
  <c r="C9" i="11"/>
  <c r="CT778" i="3"/>
  <c r="DU778" i="3" s="1"/>
  <c r="DU777" i="3"/>
  <c r="R24" i="4"/>
  <c r="E26" i="4"/>
  <c r="O37" i="21"/>
  <c r="M18" i="21"/>
  <c r="S37" i="21"/>
  <c r="P37" i="21" a="1"/>
  <c r="P37" i="21" s="1"/>
  <c r="T37" i="21"/>
  <c r="E42" i="4"/>
  <c r="DZ753" i="3"/>
  <c r="EJ753" i="3"/>
  <c r="Q97" i="4"/>
  <c r="Q105" i="4" s="1"/>
  <c r="AW121" i="20"/>
  <c r="Z818" i="3"/>
  <c r="CT755" i="3"/>
  <c r="DX649" i="3"/>
  <c r="DX651" i="3"/>
  <c r="CP802" i="3"/>
  <c r="AB986" i="3" s="1"/>
  <c r="DX640" i="3"/>
  <c r="DX638" i="3"/>
  <c r="DX664" i="3"/>
  <c r="DX656" i="3"/>
  <c r="DX665" i="3"/>
  <c r="DX635" i="3"/>
  <c r="DX653" i="3"/>
  <c r="DX655" i="3"/>
  <c r="DX645" i="3"/>
  <c r="DX657" i="3"/>
  <c r="DX644" i="3"/>
  <c r="DX642" i="3"/>
  <c r="DX658" i="3"/>
  <c r="ET753" i="3"/>
  <c r="DO802" i="3"/>
  <c r="P97" i="4"/>
  <c r="P105" i="4" s="1"/>
  <c r="D27" i="11"/>
  <c r="E81" i="13"/>
  <c r="BS753" i="3"/>
  <c r="ER664" i="3"/>
  <c r="FT753" i="3"/>
  <c r="EM638" i="3"/>
  <c r="EH642" i="3"/>
  <c r="FE725" i="3"/>
  <c r="EC642" i="3" s="1"/>
  <c r="CU753" i="3"/>
  <c r="EC635" i="3" s="1"/>
  <c r="EO753" i="3"/>
  <c r="E62" i="4"/>
  <c r="E15" i="4"/>
  <c r="R15" i="4" s="1"/>
  <c r="AB48" i="15"/>
  <c r="AD210" i="20"/>
  <c r="R9" i="4"/>
  <c r="R11" i="4" s="1"/>
  <c r="E11" i="4"/>
  <c r="I12" i="4"/>
  <c r="I63" i="4"/>
  <c r="I97" i="4" s="1"/>
  <c r="I105" i="4" s="1"/>
  <c r="B54" i="4"/>
  <c r="B63" i="4" s="1"/>
  <c r="D63" i="4"/>
  <c r="D97" i="4" s="1"/>
  <c r="D105" i="4" s="1"/>
  <c r="I22" i="7"/>
  <c r="H12" i="4"/>
  <c r="H63" i="4"/>
  <c r="H97" i="4" s="1"/>
  <c r="H105" i="4" s="1"/>
  <c r="R26" i="4"/>
  <c r="G63" i="13"/>
  <c r="G97" i="13" s="1"/>
  <c r="G105" i="13" s="1"/>
  <c r="G107" i="13" s="1"/>
  <c r="F63" i="13"/>
  <c r="F97" i="13" s="1"/>
  <c r="F105" i="13" s="1"/>
  <c r="F107" i="13" s="1"/>
  <c r="E81" i="4"/>
  <c r="R80" i="4"/>
  <c r="R81" i="4" s="1"/>
  <c r="EM659" i="3"/>
  <c r="EM641" i="3"/>
  <c r="EM666" i="3"/>
  <c r="EM654" i="3"/>
  <c r="EM642" i="3"/>
  <c r="EM658" i="3"/>
  <c r="EM637" i="3"/>
  <c r="EM664" i="3"/>
  <c r="DS798" i="3"/>
  <c r="B63" i="11"/>
  <c r="D63" i="11" s="1"/>
  <c r="D57" i="11"/>
  <c r="D30" i="11"/>
  <c r="B39" i="11"/>
  <c r="D39" i="11" s="1"/>
  <c r="I63" i="13"/>
  <c r="I97" i="13" s="1"/>
  <c r="I105" i="13" s="1"/>
  <c r="I107" i="13" s="1"/>
  <c r="B8" i="13"/>
  <c r="B42" i="13"/>
  <c r="E104" i="4"/>
  <c r="R99" i="4"/>
  <c r="R104" i="4" s="1"/>
  <c r="O63" i="4"/>
  <c r="O97" i="4" s="1"/>
  <c r="O105" i="4" s="1"/>
  <c r="O12" i="4"/>
  <c r="G12" i="4"/>
  <c r="F63" i="4"/>
  <c r="F97" i="4" s="1"/>
  <c r="F105" i="4" s="1"/>
  <c r="C43" i="11"/>
  <c r="D43" i="11" s="1"/>
  <c r="D41" i="11"/>
  <c r="AC43" i="7"/>
  <c r="C82" i="11"/>
  <c r="D82" i="11" s="1"/>
  <c r="U33" i="21"/>
  <c r="G42" i="21" s="1" a="1"/>
  <c r="G42" i="21" s="1"/>
  <c r="G43" i="21" s="1"/>
  <c r="T33" i="21"/>
  <c r="O33" i="21"/>
  <c r="DX669" i="3"/>
  <c r="D84" i="11"/>
  <c r="D66" i="11"/>
  <c r="AP375" i="20"/>
  <c r="AQ375" i="20" s="1"/>
  <c r="AH29" i="23"/>
  <c r="R65" i="4"/>
  <c r="R70" i="4" s="1"/>
  <c r="E70" i="4"/>
  <c r="B12" i="11"/>
  <c r="B96" i="4"/>
  <c r="I54" i="7"/>
  <c r="G58" i="7"/>
  <c r="D61" i="11"/>
  <c r="D46" i="11"/>
  <c r="AP366" i="20"/>
  <c r="AQ366" i="20" s="1"/>
  <c r="AN29" i="23"/>
  <c r="D87" i="11"/>
  <c r="E22" i="7"/>
  <c r="D95" i="11"/>
  <c r="J19" i="23"/>
  <c r="P29" i="23"/>
  <c r="J23" i="23"/>
  <c r="T805" i="20" l="1"/>
  <c r="AF805" i="20" s="1"/>
  <c r="BE72" i="3" s="1"/>
  <c r="AK191" i="20"/>
  <c r="T811" i="20" s="1"/>
  <c r="AF811" i="20" s="1"/>
  <c r="BE76" i="3" s="1"/>
  <c r="T18" i="21"/>
  <c r="G51" i="21" s="1"/>
  <c r="EM670" i="3"/>
  <c r="T130" i="20" s="1"/>
  <c r="T133" i="20" s="1"/>
  <c r="EC643" i="3"/>
  <c r="E96" i="4"/>
  <c r="K22" i="7"/>
  <c r="K35" i="7" s="1"/>
  <c r="ER638" i="3"/>
  <c r="ER670" i="3" s="1"/>
  <c r="Y130" i="20" s="1"/>
  <c r="Y133" i="20" s="1"/>
  <c r="Y136" i="20" s="1"/>
  <c r="ER669" i="3"/>
  <c r="E35" i="7"/>
  <c r="AC886" i="3" s="1"/>
  <c r="M22" i="7"/>
  <c r="AG28" i="7"/>
  <c r="U28" i="7"/>
  <c r="S28" i="7"/>
  <c r="Q28" i="7"/>
  <c r="Y28" i="7"/>
  <c r="W28" i="7"/>
  <c r="G28" i="7"/>
  <c r="M28" i="7"/>
  <c r="I28" i="7"/>
  <c r="I35" i="7" s="1"/>
  <c r="O28" i="7"/>
  <c r="AE28" i="7"/>
  <c r="AC28" i="7"/>
  <c r="AA28" i="7"/>
  <c r="K28" i="7"/>
  <c r="N189" i="23"/>
  <c r="N195" i="23" s="1"/>
  <c r="B12" i="4"/>
  <c r="ER665" i="3"/>
  <c r="S63" i="4"/>
  <c r="AD211" i="20"/>
  <c r="F24" i="21"/>
  <c r="E29" i="21"/>
  <c r="BE7" i="3"/>
  <c r="O22" i="7"/>
  <c r="O35" i="7" s="1"/>
  <c r="Q15" i="7"/>
  <c r="G22" i="7"/>
  <c r="G35" i="7" s="1"/>
  <c r="EH659" i="3"/>
  <c r="EH651" i="3"/>
  <c r="EH664" i="3"/>
  <c r="EH635" i="3"/>
  <c r="EH640" i="3"/>
  <c r="EH662" i="3"/>
  <c r="EH649" i="3"/>
  <c r="EH657" i="3"/>
  <c r="EH653" i="3"/>
  <c r="EH663" i="3"/>
  <c r="EH666" i="3"/>
  <c r="EH654" i="3"/>
  <c r="EH644" i="3"/>
  <c r="EH637" i="3"/>
  <c r="EH660" i="3"/>
  <c r="EH639" i="3"/>
  <c r="EH646" i="3"/>
  <c r="EH638" i="3"/>
  <c r="EH652" i="3"/>
  <c r="EH648" i="3"/>
  <c r="EH636" i="3"/>
  <c r="EH658" i="3"/>
  <c r="CZ802" i="3"/>
  <c r="AB988" i="3" s="1"/>
  <c r="AJ988" i="3" s="1"/>
  <c r="DD755" i="3"/>
  <c r="EH667" i="3"/>
  <c r="EH655" i="3"/>
  <c r="EH647" i="3"/>
  <c r="EH643" i="3"/>
  <c r="EH645" i="3"/>
  <c r="EH650" i="3"/>
  <c r="EH669" i="3"/>
  <c r="EH656" i="3"/>
  <c r="EH668" i="3"/>
  <c r="EH641" i="3"/>
  <c r="EH665" i="3"/>
  <c r="C64" i="11"/>
  <c r="C13" i="11"/>
  <c r="D9" i="11"/>
  <c r="K6" i="7"/>
  <c r="FE753" i="3"/>
  <c r="EW667" i="3"/>
  <c r="EW648" i="3"/>
  <c r="EW669" i="3"/>
  <c r="EW665" i="3"/>
  <c r="DS755" i="3"/>
  <c r="EW662" i="3"/>
  <c r="EW644" i="3"/>
  <c r="EW642" i="3"/>
  <c r="EW664" i="3"/>
  <c r="EW653" i="3"/>
  <c r="EW661" i="3"/>
  <c r="EW639" i="3"/>
  <c r="AX693" i="20"/>
  <c r="EW655" i="3"/>
  <c r="EW657" i="3"/>
  <c r="EW646" i="3"/>
  <c r="EW645" i="3"/>
  <c r="EW668" i="3"/>
  <c r="EW649" i="3"/>
  <c r="EW666" i="3"/>
  <c r="EW647" i="3"/>
  <c r="EW641" i="3"/>
  <c r="EW650" i="3"/>
  <c r="EW640" i="3"/>
  <c r="EW654" i="3"/>
  <c r="EW635" i="3"/>
  <c r="EW638" i="3"/>
  <c r="EW636" i="3"/>
  <c r="EW643" i="3"/>
  <c r="EW637" i="3"/>
  <c r="EW658" i="3"/>
  <c r="EW651" i="3"/>
  <c r="EW660" i="3"/>
  <c r="EW659" i="3"/>
  <c r="EW652" i="3"/>
  <c r="EW663" i="3"/>
  <c r="EH661" i="3"/>
  <c r="K4" i="7"/>
  <c r="Q8" i="7"/>
  <c r="DN798" i="3"/>
  <c r="DU800" i="3" s="1"/>
  <c r="DU799" i="3"/>
  <c r="C105" i="4"/>
  <c r="B97" i="13"/>
  <c r="B97" i="4"/>
  <c r="BT751" i="3"/>
  <c r="BU751" i="3" s="1"/>
  <c r="BT720" i="3"/>
  <c r="BU720" i="3" s="1"/>
  <c r="BT729" i="3"/>
  <c r="BU729" i="3" s="1"/>
  <c r="BT734" i="3"/>
  <c r="BU734" i="3" s="1"/>
  <c r="BT723" i="3"/>
  <c r="BU723" i="3" s="1"/>
  <c r="BT742" i="3"/>
  <c r="BU742" i="3" s="1"/>
  <c r="BT727" i="3"/>
  <c r="BU727" i="3" s="1"/>
  <c r="BT736" i="3"/>
  <c r="BU736" i="3" s="1"/>
  <c r="BT745" i="3"/>
  <c r="BU745" i="3" s="1"/>
  <c r="BT722" i="3"/>
  <c r="BU722" i="3" s="1"/>
  <c r="BT724" i="3"/>
  <c r="BU724" i="3" s="1"/>
  <c r="BT733" i="3"/>
  <c r="BU733" i="3" s="1"/>
  <c r="BT735" i="3"/>
  <c r="BU735" i="3" s="1"/>
  <c r="BT744" i="3"/>
  <c r="BU744" i="3" s="1"/>
  <c r="BT731" i="3"/>
  <c r="BU731" i="3" s="1"/>
  <c r="BT730" i="3"/>
  <c r="BU730" i="3" s="1"/>
  <c r="BT732" i="3"/>
  <c r="BU732" i="3" s="1"/>
  <c r="BT741" i="3"/>
  <c r="BU741" i="3" s="1"/>
  <c r="BT728" i="3"/>
  <c r="BU728" i="3" s="1"/>
  <c r="BT739" i="3"/>
  <c r="BU739" i="3" s="1"/>
  <c r="BT747" i="3"/>
  <c r="BU747" i="3" s="1"/>
  <c r="BT749" i="3"/>
  <c r="BU749" i="3" s="1"/>
  <c r="BT748" i="3"/>
  <c r="BU748" i="3" s="1"/>
  <c r="BT743" i="3"/>
  <c r="BU743" i="3" s="1"/>
  <c r="BT726" i="3"/>
  <c r="BU726" i="3" s="1"/>
  <c r="BT752" i="3"/>
  <c r="BU752" i="3" s="1"/>
  <c r="BT750" i="3"/>
  <c r="BU750" i="3" s="1"/>
  <c r="BT725" i="3"/>
  <c r="BU725" i="3" s="1"/>
  <c r="BT718" i="3"/>
  <c r="BT719" i="3"/>
  <c r="BU719" i="3" s="1"/>
  <c r="BT746" i="3"/>
  <c r="BU746" i="3" s="1"/>
  <c r="BT721" i="3"/>
  <c r="BU721" i="3" s="1"/>
  <c r="BT737" i="3"/>
  <c r="BU737" i="3" s="1"/>
  <c r="BT738" i="3"/>
  <c r="BU738" i="3" s="1"/>
  <c r="BT740" i="3"/>
  <c r="BU740" i="3" s="1"/>
  <c r="FY753" i="3"/>
  <c r="EW656" i="3"/>
  <c r="R4" i="4"/>
  <c r="R8" i="4" s="1"/>
  <c r="E8" i="4"/>
  <c r="BA1039" i="3"/>
  <c r="BA1048" i="3" s="1" a="1"/>
  <c r="BA1048" i="3" s="1"/>
  <c r="X1048" i="3"/>
  <c r="AS360" i="20"/>
  <c r="AK469" i="20" s="1"/>
  <c r="T817" i="20" s="1"/>
  <c r="AF817" i="20" s="1"/>
  <c r="BE80" i="3" s="1"/>
  <c r="AS362" i="20"/>
  <c r="AS358" i="20" s="1"/>
  <c r="AJ986" i="3"/>
  <c r="K54" i="7"/>
  <c r="I58" i="7"/>
  <c r="O22" i="21"/>
  <c r="P22" i="21" s="1" a="1"/>
  <c r="P22" i="21" s="1"/>
  <c r="S22" i="21" s="1"/>
  <c r="O23" i="21"/>
  <c r="P23" i="21" s="1" a="1"/>
  <c r="P23" i="21" s="1"/>
  <c r="S23" i="21" s="1"/>
  <c r="AX694" i="20"/>
  <c r="BG753" i="3"/>
  <c r="BE68" i="3"/>
  <c r="DJ802" i="3"/>
  <c r="D12" i="11"/>
  <c r="B13" i="11"/>
  <c r="B64" i="11"/>
  <c r="B98" i="11" s="1"/>
  <c r="B106" i="11" s="1"/>
  <c r="T97" i="4"/>
  <c r="H63" i="13"/>
  <c r="BH753" i="3"/>
  <c r="AC753" i="3" s="1"/>
  <c r="AB990" i="3"/>
  <c r="AJ990" i="3" s="1"/>
  <c r="AW119" i="20"/>
  <c r="T136" i="20" s="1"/>
  <c r="AW117" i="20"/>
  <c r="AW118" i="20"/>
  <c r="AW116" i="20"/>
  <c r="Y53" i="7"/>
  <c r="J29" i="23"/>
  <c r="EC663" i="3"/>
  <c r="EC652" i="3"/>
  <c r="EC645" i="3"/>
  <c r="EC668" i="3"/>
  <c r="EC654" i="3"/>
  <c r="EC660" i="3"/>
  <c r="EC647" i="3"/>
  <c r="EC669" i="3"/>
  <c r="EC641" i="3"/>
  <c r="EC648" i="3"/>
  <c r="EC658" i="3"/>
  <c r="EC649" i="3"/>
  <c r="EC636" i="3"/>
  <c r="EC666" i="3"/>
  <c r="EC651" i="3"/>
  <c r="CU802" i="3"/>
  <c r="AB987" i="3" s="1"/>
  <c r="AJ987" i="3" s="1"/>
  <c r="CY755" i="3"/>
  <c r="DU755" i="3" s="1"/>
  <c r="EC650" i="3"/>
  <c r="EC661" i="3"/>
  <c r="EC665" i="3"/>
  <c r="EC657" i="3"/>
  <c r="EC659" i="3"/>
  <c r="EC656" i="3"/>
  <c r="EC662" i="3"/>
  <c r="EC664" i="3"/>
  <c r="EC646" i="3"/>
  <c r="EC637" i="3"/>
  <c r="EC655" i="3"/>
  <c r="EC639" i="3"/>
  <c r="EC644" i="3"/>
  <c r="EC638" i="3"/>
  <c r="EC640" i="3"/>
  <c r="DO754" i="3"/>
  <c r="EC667" i="3"/>
  <c r="EC653" i="3"/>
  <c r="DX670" i="3"/>
  <c r="E130" i="20" s="1"/>
  <c r="E133" i="20" s="1"/>
  <c r="AJ992" i="3" l="1"/>
  <c r="AJ1049" i="3" s="1"/>
  <c r="AP553" i="20" s="1"/>
  <c r="E63" i="13"/>
  <c r="S97" i="4"/>
  <c r="G61" i="21"/>
  <c r="G63" i="21" s="1"/>
  <c r="G65" i="21" s="1"/>
  <c r="E13" i="21" s="1"/>
  <c r="F28" i="21"/>
  <c r="G28" i="21" s="1"/>
  <c r="F27" i="21"/>
  <c r="G52" i="21"/>
  <c r="G54" i="21" s="1"/>
  <c r="G56" i="21" s="1"/>
  <c r="E12" i="21" s="1"/>
  <c r="E11" i="21" s="1"/>
  <c r="G24" i="21"/>
  <c r="EC670" i="3"/>
  <c r="J130" i="20" s="1"/>
  <c r="J133" i="20" s="1"/>
  <c r="J136" i="20" s="1"/>
  <c r="BE8" i="3"/>
  <c r="Q22" i="7"/>
  <c r="Q35" i="7" s="1"/>
  <c r="S15" i="7"/>
  <c r="M35" i="7"/>
  <c r="AW122" i="20"/>
  <c r="AC455" i="3"/>
  <c r="B105" i="4"/>
  <c r="B105" i="13"/>
  <c r="BE101" i="3"/>
  <c r="AG269" i="20"/>
  <c r="G45" i="21"/>
  <c r="G47" i="21" s="1"/>
  <c r="E10" i="21" s="1"/>
  <c r="BU718" i="3"/>
  <c r="BU753" i="3" s="1"/>
  <c r="AH753" i="3" s="1"/>
  <c r="BE43" i="3" s="1"/>
  <c r="BT753" i="3"/>
  <c r="AA53" i="7"/>
  <c r="M54" i="7"/>
  <c r="K58" i="7"/>
  <c r="M6" i="7"/>
  <c r="E12" i="4"/>
  <c r="E63" i="4"/>
  <c r="E97" i="4" s="1"/>
  <c r="E105" i="4" s="1"/>
  <c r="EW670" i="3"/>
  <c r="AD130" i="20" s="1"/>
  <c r="AD133" i="20" s="1"/>
  <c r="AD136" i="20" s="1"/>
  <c r="EH670" i="3"/>
  <c r="O130" i="20" s="1"/>
  <c r="O133" i="20" s="1"/>
  <c r="O136" i="20" s="1"/>
  <c r="AY695" i="20"/>
  <c r="AO695" i="20" s="1"/>
  <c r="AX695" i="20"/>
  <c r="AB991" i="3"/>
  <c r="S8" i="7"/>
  <c r="D13" i="11"/>
  <c r="R12" i="4"/>
  <c r="R63" i="4"/>
  <c r="R97" i="4" s="1"/>
  <c r="R105" i="4" s="1"/>
  <c r="M4" i="7"/>
  <c r="C98" i="11"/>
  <c r="D64" i="11"/>
  <c r="AT26" i="23"/>
  <c r="AY44" i="23"/>
  <c r="AT25" i="23"/>
  <c r="AT27" i="23"/>
  <c r="AY37" i="23"/>
  <c r="AY46" i="23"/>
  <c r="AY42" i="23"/>
  <c r="AY43" i="23"/>
  <c r="AY39" i="23"/>
  <c r="AY40" i="23"/>
  <c r="AY36" i="23"/>
  <c r="AT29" i="23"/>
  <c r="AT20" i="23"/>
  <c r="AT22" i="23"/>
  <c r="AT24" i="23"/>
  <c r="AT28" i="23"/>
  <c r="AY38" i="23"/>
  <c r="AT21" i="23"/>
  <c r="AY45" i="23"/>
  <c r="AY47" i="23"/>
  <c r="AY41" i="23"/>
  <c r="AJ994" i="3"/>
  <c r="AP550" i="20"/>
  <c r="AJ1036" i="3"/>
  <c r="I15" i="21" s="1"/>
  <c r="AJ1029" i="3"/>
  <c r="AT23" i="23"/>
  <c r="T105" i="4"/>
  <c r="H97" i="13"/>
  <c r="O756" i="3"/>
  <c r="C5" i="7" s="1"/>
  <c r="K5" i="7" s="1"/>
  <c r="P421" i="3"/>
  <c r="DU802" i="3"/>
  <c r="U373" i="20" s="1"/>
  <c r="AG1045" i="3"/>
  <c r="AY1005" i="3"/>
  <c r="AJ1045" i="3"/>
  <c r="AP552" i="20" s="1"/>
  <c r="AP554" i="20" s="1"/>
  <c r="E136" i="20"/>
  <c r="AT19" i="23"/>
  <c r="E103" i="20"/>
  <c r="E106" i="20" s="1"/>
  <c r="E93" i="20"/>
  <c r="E94" i="20" s="1"/>
  <c r="E95" i="20" s="1"/>
  <c r="AP95" i="20" s="1"/>
  <c r="AK109" i="20" s="1"/>
  <c r="T806" i="20" s="1"/>
  <c r="AF806" i="20" s="1"/>
  <c r="BE42" i="3"/>
  <c r="AJ1053" i="3" l="1"/>
  <c r="AP557" i="20" s="1"/>
  <c r="AP556" i="20" s="1"/>
  <c r="AP559" i="20" s="1"/>
  <c r="AF552" i="20" s="1"/>
  <c r="F26" i="21"/>
  <c r="G27" i="21"/>
  <c r="U15" i="7"/>
  <c r="S22" i="7"/>
  <c r="S35" i="7" s="1"/>
  <c r="S105" i="4"/>
  <c r="E97" i="13"/>
  <c r="AZ1046" i="3"/>
  <c r="BE9" i="3"/>
  <c r="BE73" i="3"/>
  <c r="T24" i="15"/>
  <c r="E138" i="20"/>
  <c r="E139" i="20" s="1"/>
  <c r="AK143" i="20" s="1"/>
  <c r="T807" i="20" s="1"/>
  <c r="AF807" i="20" s="1"/>
  <c r="BE74" i="3" s="1"/>
  <c r="C106" i="11"/>
  <c r="D106" i="11" s="1"/>
  <c r="D98" i="11"/>
  <c r="H105" i="13"/>
  <c r="T107" i="4"/>
  <c r="H107" i="13" s="1"/>
  <c r="O54" i="7"/>
  <c r="M58" i="7"/>
  <c r="AC53" i="7"/>
  <c r="O4" i="7"/>
  <c r="M5" i="7"/>
  <c r="AC454" i="3"/>
  <c r="BE22" i="3"/>
  <c r="N185" i="23"/>
  <c r="AB47" i="15"/>
  <c r="AB49" i="15" s="1"/>
  <c r="AB266" i="20"/>
  <c r="AG268" i="20" s="1"/>
  <c r="AG270" i="20" s="1"/>
  <c r="AK273" i="20" s="1"/>
  <c r="T812" i="20" s="1"/>
  <c r="AF812" i="20" s="1"/>
  <c r="BE77" i="3" s="1"/>
  <c r="AP705" i="20"/>
  <c r="AP706" i="20"/>
  <c r="M7" i="7"/>
  <c r="O6" i="7"/>
  <c r="U8" i="7"/>
  <c r="C7" i="7"/>
  <c r="G5" i="7"/>
  <c r="C9" i="7"/>
  <c r="S9" i="7" s="1"/>
  <c r="E5" i="7"/>
  <c r="I5" i="7"/>
  <c r="BE10" i="3" l="1"/>
  <c r="BA1056" i="3"/>
  <c r="AZ1051" i="3"/>
  <c r="BA1055" i="3" s="1"/>
  <c r="BA1059" i="3" s="1"/>
  <c r="U22" i="7"/>
  <c r="U35" i="7" s="1"/>
  <c r="W15" i="7"/>
  <c r="G26" i="21"/>
  <c r="F29" i="21"/>
  <c r="G29" i="21"/>
  <c r="S107" i="4"/>
  <c r="AF551" i="20" s="1"/>
  <c r="AF553" i="20" s="1"/>
  <c r="AK559" i="20" s="1"/>
  <c r="T818" i="20" s="1"/>
  <c r="AF818" i="20" s="1"/>
  <c r="BE81" i="3" s="1"/>
  <c r="E105" i="13"/>
  <c r="AE53" i="7"/>
  <c r="O5" i="7"/>
  <c r="Q4" i="7"/>
  <c r="U9" i="7"/>
  <c r="W8" i="7"/>
  <c r="Q54" i="7"/>
  <c r="O58" i="7"/>
  <c r="E9" i="7"/>
  <c r="K9" i="7"/>
  <c r="I9" i="7"/>
  <c r="G9" i="7"/>
  <c r="M9" i="7"/>
  <c r="M11" i="7" s="1"/>
  <c r="M37" i="7" s="1"/>
  <c r="O9" i="7"/>
  <c r="Q9" i="7"/>
  <c r="N186" i="23"/>
  <c r="N196" i="23"/>
  <c r="Q6" i="7"/>
  <c r="O7" i="7"/>
  <c r="I11" i="7"/>
  <c r="I37" i="7" s="1"/>
  <c r="AI11" i="15"/>
  <c r="AI23" i="15" s="1"/>
  <c r="AI26" i="15" s="1"/>
  <c r="AI28" i="15" s="1"/>
  <c r="AD11" i="15"/>
  <c r="AD23" i="15" s="1"/>
  <c r="AD26" i="15" s="1"/>
  <c r="AD28" i="15" s="1"/>
  <c r="G7" i="7"/>
  <c r="E7" i="7"/>
  <c r="E11" i="7" s="1"/>
  <c r="E37" i="7" s="1"/>
  <c r="I7" i="7"/>
  <c r="K7" i="7"/>
  <c r="BE44" i="3"/>
  <c r="F457" i="3"/>
  <c r="AA1056" i="3"/>
  <c r="AA1057" i="3" s="1"/>
  <c r="G1058" i="3" s="1"/>
  <c r="G88" i="21" l="1"/>
  <c r="G90" i="21" s="1"/>
  <c r="E16" i="21" s="1"/>
  <c r="G111" i="21"/>
  <c r="G31" i="21"/>
  <c r="G33" i="21" s="1"/>
  <c r="E9" i="21" s="1"/>
  <c r="G79" i="21"/>
  <c r="G80" i="21" s="1"/>
  <c r="E15" i="21" s="1"/>
  <c r="G96" i="21"/>
  <c r="W22" i="7"/>
  <c r="W35" i="7" s="1"/>
  <c r="Y15" i="7"/>
  <c r="AC456" i="3"/>
  <c r="E107" i="13"/>
  <c r="G11" i="7"/>
  <c r="G37" i="7" s="1"/>
  <c r="G45" i="7" s="1"/>
  <c r="O11" i="7"/>
  <c r="O37" i="7" s="1"/>
  <c r="O45" i="7" s="1"/>
  <c r="BE11" i="3"/>
  <c r="E45" i="7"/>
  <c r="E49" i="7"/>
  <c r="Q7" i="7"/>
  <c r="S6" i="7"/>
  <c r="W9" i="7"/>
  <c r="Y8" i="7"/>
  <c r="K11" i="7"/>
  <c r="K37" i="7" s="1"/>
  <c r="M49" i="7"/>
  <c r="M45" i="7"/>
  <c r="S4" i="7"/>
  <c r="Q5" i="7"/>
  <c r="AG53" i="7"/>
  <c r="S54" i="7"/>
  <c r="Q58" i="7"/>
  <c r="I45" i="7"/>
  <c r="I49" i="7"/>
  <c r="AF821" i="20"/>
  <c r="BE70" i="3" s="1"/>
  <c r="Q11" i="7" l="1"/>
  <c r="Q37" i="7" s="1"/>
  <c r="AA15" i="7"/>
  <c r="Y22" i="7"/>
  <c r="Y35" i="7" s="1"/>
  <c r="BE12" i="3"/>
  <c r="BE13" i="3" s="1"/>
  <c r="G97" i="21"/>
  <c r="G113" i="21"/>
  <c r="G101" i="21"/>
  <c r="G49" i="7"/>
  <c r="O49" i="7"/>
  <c r="T11" i="15"/>
  <c r="T23" i="15" s="1"/>
  <c r="Y11" i="15"/>
  <c r="Y23" i="15" s="1"/>
  <c r="Y26" i="15" s="1"/>
  <c r="Y28" i="15" s="1"/>
  <c r="Q45" i="7"/>
  <c r="Q49" i="7"/>
  <c r="S7" i="7"/>
  <c r="U6" i="7"/>
  <c r="U54" i="7"/>
  <c r="S58" i="7"/>
  <c r="S5" i="7"/>
  <c r="S11" i="7" s="1"/>
  <c r="S37" i="7" s="1"/>
  <c r="U4" i="7"/>
  <c r="E47" i="7"/>
  <c r="E60" i="7"/>
  <c r="E48" i="7"/>
  <c r="M48" i="7"/>
  <c r="M47" i="7"/>
  <c r="M60" i="7"/>
  <c r="O60" i="7"/>
  <c r="O48" i="7"/>
  <c r="O47" i="7"/>
  <c r="I48" i="7"/>
  <c r="I47" i="7"/>
  <c r="I60" i="7"/>
  <c r="K49" i="7"/>
  <c r="K45" i="7"/>
  <c r="Y9" i="7"/>
  <c r="AA8" i="7"/>
  <c r="G60" i="7"/>
  <c r="G48" i="7"/>
  <c r="G47" i="7"/>
  <c r="T26" i="15" l="1"/>
  <c r="T28" i="15" s="1"/>
  <c r="T29" i="15" s="1"/>
  <c r="AD38" i="15"/>
  <c r="AD40" i="15" s="1"/>
  <c r="Y38" i="15"/>
  <c r="Y40" i="15" s="1"/>
  <c r="Y41" i="15" s="1"/>
  <c r="AB50" i="15" s="1"/>
  <c r="G115" i="21"/>
  <c r="E17" i="21" s="1"/>
  <c r="E14" i="21" s="1"/>
  <c r="E18" i="21" s="1"/>
  <c r="H3" i="21" s="1"/>
  <c r="AA22" i="7"/>
  <c r="AA35" i="7" s="1"/>
  <c r="AC15" i="7"/>
  <c r="BE14" i="3"/>
  <c r="BE15" i="3" s="1"/>
  <c r="S49" i="7"/>
  <c r="S45" i="7"/>
  <c r="I62" i="7"/>
  <c r="I67" i="7"/>
  <c r="I66" i="7"/>
  <c r="I70" i="7" s="1"/>
  <c r="W54" i="7"/>
  <c r="U58" i="7"/>
  <c r="U7" i="7"/>
  <c r="W6" i="7"/>
  <c r="K48" i="7"/>
  <c r="K60" i="7"/>
  <c r="K47" i="7"/>
  <c r="U5" i="7"/>
  <c r="W4" i="7"/>
  <c r="O67" i="7"/>
  <c r="O66" i="7"/>
  <c r="O70" i="7" s="1"/>
  <c r="O62" i="7"/>
  <c r="M66" i="7"/>
  <c r="M62" i="7"/>
  <c r="M67" i="7"/>
  <c r="G66" i="7"/>
  <c r="G62" i="7"/>
  <c r="G67" i="7"/>
  <c r="AA9" i="7"/>
  <c r="AC8" i="7"/>
  <c r="E62" i="7"/>
  <c r="E66" i="7"/>
  <c r="E67" i="7"/>
  <c r="Q60" i="7"/>
  <c r="Q48" i="7"/>
  <c r="Q47" i="7"/>
  <c r="I72" i="7" l="1"/>
  <c r="AE15" i="7"/>
  <c r="AC22" i="7"/>
  <c r="AC35" i="7" s="1"/>
  <c r="M70" i="7"/>
  <c r="M72" i="7" s="1"/>
  <c r="U11" i="7"/>
  <c r="U37" i="7" s="1"/>
  <c r="O72" i="7"/>
  <c r="U49" i="7"/>
  <c r="U45" i="7"/>
  <c r="E70" i="7"/>
  <c r="E72" i="7" s="1"/>
  <c r="BE62" i="3"/>
  <c r="AB54" i="15"/>
  <c r="AB55" i="15" s="1"/>
  <c r="AB56" i="15" s="1"/>
  <c r="Y6" i="7"/>
  <c r="W7" i="7"/>
  <c r="Y4" i="7"/>
  <c r="W5" i="7"/>
  <c r="W11" i="7" s="1"/>
  <c r="W37" i="7" s="1"/>
  <c r="G70" i="7"/>
  <c r="G72" i="7" s="1"/>
  <c r="K67" i="7"/>
  <c r="K62" i="7"/>
  <c r="K66" i="7"/>
  <c r="K70" i="7" s="1"/>
  <c r="S47" i="7"/>
  <c r="S48" i="7"/>
  <c r="S60" i="7"/>
  <c r="Y54" i="7"/>
  <c r="W58" i="7"/>
  <c r="AC9" i="7"/>
  <c r="AE8" i="7"/>
  <c r="Q62" i="7"/>
  <c r="Q66" i="7"/>
  <c r="Q67" i="7"/>
  <c r="K72" i="7" l="1"/>
  <c r="AG15" i="7"/>
  <c r="AG22" i="7" s="1"/>
  <c r="AG35" i="7" s="1"/>
  <c r="AE22" i="7"/>
  <c r="AE35" i="7" s="1"/>
  <c r="AE9" i="7"/>
  <c r="AG8" i="7"/>
  <c r="AG9" i="7" s="1"/>
  <c r="AA54" i="7"/>
  <c r="Y58" i="7"/>
  <c r="W49" i="7"/>
  <c r="W45" i="7"/>
  <c r="Y7" i="7"/>
  <c r="AA6" i="7"/>
  <c r="AA4" i="7"/>
  <c r="Y5" i="7"/>
  <c r="S66" i="7"/>
  <c r="S67" i="7"/>
  <c r="S62" i="7"/>
  <c r="U60" i="7"/>
  <c r="U48" i="7"/>
  <c r="U47" i="7"/>
  <c r="M26" i="3"/>
  <c r="AB57" i="15"/>
  <c r="Q70" i="7"/>
  <c r="Q72" i="7" s="1"/>
  <c r="Y11" i="7" l="1"/>
  <c r="Y37" i="7" s="1"/>
  <c r="Y49" i="7" s="1"/>
  <c r="Y45" i="7"/>
  <c r="AA5" i="7"/>
  <c r="AC4" i="7"/>
  <c r="AB59" i="15"/>
  <c r="AB77" i="15" s="1"/>
  <c r="AB78" i="15" s="1"/>
  <c r="AC54" i="7"/>
  <c r="AA58" i="7"/>
  <c r="AA7" i="7"/>
  <c r="AA11" i="7" s="1"/>
  <c r="AA37" i="7" s="1"/>
  <c r="AC6" i="7"/>
  <c r="P204" i="3"/>
  <c r="BE19" i="3"/>
  <c r="W47" i="7"/>
  <c r="W60" i="7"/>
  <c r="W48" i="7"/>
  <c r="U66" i="7"/>
  <c r="U67" i="7"/>
  <c r="U62" i="7"/>
  <c r="S70" i="7"/>
  <c r="S72" i="7" s="1"/>
  <c r="AA49" i="7" l="1"/>
  <c r="AA45" i="7"/>
  <c r="AE54" i="7"/>
  <c r="AC58" i="7"/>
  <c r="I10" i="21"/>
  <c r="I11" i="21" s="1"/>
  <c r="I18" i="21" s="1"/>
  <c r="H4" i="21" s="1"/>
  <c r="H5" i="21" s="1"/>
  <c r="BE83" i="3" s="1"/>
  <c r="AB79" i="15"/>
  <c r="AB81" i="15" s="1"/>
  <c r="J82" i="15" s="1"/>
  <c r="M27" i="3"/>
  <c r="W62" i="7"/>
  <c r="W67" i="7"/>
  <c r="W66" i="7"/>
  <c r="W70" i="7" s="1"/>
  <c r="U70" i="7"/>
  <c r="U72" i="7" s="1"/>
  <c r="AC5" i="7"/>
  <c r="AE4" i="7"/>
  <c r="Y48" i="7"/>
  <c r="Y47" i="7"/>
  <c r="Y60" i="7"/>
  <c r="AE6" i="7"/>
  <c r="AC7" i="7"/>
  <c r="AC11" i="7" s="1"/>
  <c r="AC37" i="7" s="1"/>
  <c r="W72" i="7" l="1"/>
  <c r="AC45" i="7"/>
  <c r="AC49" i="7"/>
  <c r="P205" i="3"/>
  <c r="BE20" i="3"/>
  <c r="Y62" i="7"/>
  <c r="Y67" i="7"/>
  <c r="Y66" i="7"/>
  <c r="AE7" i="7"/>
  <c r="AG6" i="7"/>
  <c r="AG7" i="7" s="1"/>
  <c r="AE5" i="7"/>
  <c r="AE11" i="7" s="1"/>
  <c r="AE37" i="7" s="1"/>
  <c r="AG4" i="7"/>
  <c r="AA60" i="7"/>
  <c r="AA48" i="7"/>
  <c r="AA47" i="7"/>
  <c r="AG54" i="7"/>
  <c r="AG58" i="7" s="1"/>
  <c r="AE58" i="7"/>
  <c r="AE49" i="7" l="1"/>
  <c r="AE45" i="7"/>
  <c r="Y70" i="7"/>
  <c r="Y72" i="7" s="1"/>
  <c r="AA62" i="7"/>
  <c r="AA67" i="7"/>
  <c r="AA66" i="7"/>
  <c r="AG5" i="7"/>
  <c r="AG11" i="7" s="1"/>
  <c r="AG37" i="7" s="1"/>
  <c r="AC47" i="7"/>
  <c r="AC60" i="7"/>
  <c r="AC48" i="7"/>
  <c r="AA70" i="7" l="1"/>
  <c r="AA72" i="7" s="1"/>
  <c r="AG49" i="7"/>
  <c r="AG45" i="7"/>
  <c r="AC66" i="7"/>
  <c r="AC62" i="7"/>
  <c r="AC67" i="7"/>
  <c r="AE47" i="7"/>
  <c r="AE60" i="7"/>
  <c r="AE48" i="7"/>
  <c r="AE66" i="7" l="1"/>
  <c r="AE67" i="7"/>
  <c r="AE62" i="7"/>
  <c r="AG60" i="7"/>
  <c r="AG48" i="7"/>
  <c r="AG47" i="7"/>
  <c r="AC70" i="7"/>
  <c r="AC72" i="7" s="1"/>
  <c r="AE70" i="7" l="1"/>
  <c r="AE72" i="7" s="1"/>
  <c r="AG62" i="7"/>
  <c r="AG66" i="7"/>
  <c r="AG67" i="7"/>
  <c r="AG70" i="7" l="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rgb="FF000000"/>
            <rFont val="Arial"/>
            <family val="2"/>
          </rPr>
          <t xml:space="preserve">Acquisition Credits cannot exceed 5% of cell T96 (or 15% if regulatory requirements are met). See 
</t>
        </r>
        <r>
          <rPr>
            <sz val="10"/>
            <color rgb="FF000000"/>
            <rFont val="Arial"/>
            <family val="2"/>
          </rPr>
          <t>CTCAC Reg. Section 10327(c)(2)(B) for deferral/ equity contribution requirements.</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<sst xmlns="http://schemas.openxmlformats.org/spreadsheetml/2006/main" count="5039" uniqueCount="2749">
  <si>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</si>
  <si>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</si>
  <si>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</si>
  <si>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</si>
  <si>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</si>
  <si>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</si>
  <si>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</si>
  <si>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</si>
  <si>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</si>
  <si>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</si>
  <si>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</si>
  <si>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</si>
  <si>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</si>
  <si>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</si>
  <si>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</si>
  <si>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</si>
  <si>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</si>
  <si>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</si>
  <si>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</si>
  <si>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</si>
  <si>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</si>
  <si>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</si>
  <si>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</si>
  <si>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</si>
  <si>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</si>
  <si>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</si>
  <si>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</si>
  <si>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</si>
  <si>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</si>
  <si>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</si>
  <si>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</si>
  <si>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</si>
  <si>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</si>
  <si>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</si>
  <si>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</si>
  <si>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</si>
  <si>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</si>
  <si>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</si>
  <si>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</si>
  <si>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</si>
  <si>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</si>
  <si>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</si>
  <si>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</si>
  <si>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</si>
  <si>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</si>
  <si>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</si>
  <si>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</si>
  <si>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</si>
  <si>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</si>
  <si>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</si>
  <si>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</si>
  <si>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</si>
  <si>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</si>
  <si>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</si>
  <si>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</si>
  <si>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</si>
  <si>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</si>
  <si>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</si>
  <si>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</si>
  <si>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</si>
  <si>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</si>
  <si>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</si>
  <si>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</si>
  <si>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</si>
  <si>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</si>
  <si>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</si>
  <si>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</si>
  <si>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</si>
  <si>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</si>
  <si>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</si>
  <si>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</si>
  <si>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</si>
  <si>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</si>
  <si>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</si>
  <si>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</si>
  <si>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</si>
  <si>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</si>
  <si>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</si>
  <si>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</si>
  <si>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</si>
  <si>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</si>
  <si>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</si>
  <si>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</si>
  <si>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</si>
  <si>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</si>
  <si>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</si>
  <si>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</si>
  <si>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</si>
  <si>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</si>
  <si>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</si>
  <si>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</si>
  <si>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</si>
  <si>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</si>
  <si>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</si>
  <si>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</si>
  <si>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</si>
  <si>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</si>
  <si>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</si>
  <si>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</si>
  <si>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</si>
  <si>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</si>
  <si>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</si>
  <si>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</si>
  <si>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</si>
  <si>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</si>
  <si>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</si>
  <si>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</si>
  <si>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</si>
  <si>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</si>
  <si>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</si>
  <si>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</si>
  <si>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</si>
  <si>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</si>
  <si>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</si>
  <si>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</si>
  <si>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</si>
  <si>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</si>
  <si>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</si>
  <si>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</si>
  <si>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</si>
  <si>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</si>
  <si>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</si>
  <si>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</si>
  <si>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</si>
  <si>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</si>
  <si>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</si>
  <si>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</si>
  <si>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</si>
  <si>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</si>
  <si>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</si>
  <si>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</si>
  <si>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</si>
  <si>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</si>
  <si>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</si>
  <si>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</si>
  <si>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</si>
  <si>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</si>
  <si>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</si>
  <si>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</si>
  <si>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</si>
  <si>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</si>
  <si>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</si>
  <si>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</si>
  <si>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</si>
  <si>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</si>
  <si>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</si>
  <si>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</si>
  <si>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</si>
  <si>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</si>
  <si>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</si>
  <si>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</si>
  <si>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</si>
  <si>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</si>
  <si>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</si>
  <si>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</si>
  <si>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</si>
  <si>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</si>
  <si>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</si>
  <si>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</si>
  <si>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</si>
  <si>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</si>
  <si>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</si>
  <si>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</si>
  <si>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</si>
  <si>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</si>
  <si>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</si>
  <si>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</si>
  <si>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</si>
  <si>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</si>
  <si>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</si>
  <si>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</si>
  <si>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</si>
  <si>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</si>
  <si>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</si>
  <si>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</si>
  <si>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</si>
  <si>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</si>
  <si>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</si>
  <si>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</si>
  <si>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</si>
  <si>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</si>
  <si>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</si>
  <si>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</si>
  <si>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</si>
  <si>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</si>
  <si>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</si>
  <si>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</si>
  <si>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</si>
  <si>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</si>
  <si>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</si>
  <si>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</si>
  <si>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</si>
  <si>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</si>
  <si>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</si>
  <si>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</si>
  <si>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</si>
  <si>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</si>
  <si>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</si>
  <si>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</si>
  <si>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</si>
  <si>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</si>
  <si>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</si>
  <si>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</si>
  <si>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</si>
  <si>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</si>
  <si>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</si>
  <si>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</si>
  <si>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</si>
  <si>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</si>
  <si>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</si>
  <si>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</si>
  <si>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</si>
  <si>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</si>
  <si>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</si>
  <si>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</si>
  <si>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</si>
  <si>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</si>
  <si>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</si>
  <si>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</si>
  <si>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</si>
  <si>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</si>
  <si>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</si>
  <si>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</si>
  <si>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</si>
  <si>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</si>
  <si>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</si>
  <si>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</si>
  <si>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</si>
  <si>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</si>
  <si>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</si>
  <si>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</si>
  <si>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</si>
  <si>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</si>
  <si>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</si>
  <si>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</si>
  <si>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</si>
  <si>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</si>
  <si>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</si>
  <si>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</si>
  <si>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</si>
  <si>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</si>
  <si>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</si>
  <si>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</si>
  <si>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</si>
  <si>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</si>
  <si>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</si>
  <si>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</si>
  <si>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</si>
  <si>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</si>
  <si>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</si>
  <si>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</si>
  <si>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</si>
  <si>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</si>
  <si>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</si>
  <si>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</si>
  <si>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</si>
  <si>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</si>
  <si>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</si>
  <si>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</si>
  <si>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</si>
  <si>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</si>
  <si>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</si>
  <si>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</si>
  <si>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</si>
  <si>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</si>
  <si>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</si>
  <si>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</si>
  <si>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</si>
  <si>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</si>
  <si>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</si>
  <si>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</si>
  <si>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</si>
  <si>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</si>
  <si>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</si>
  <si>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</si>
  <si>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</si>
  <si>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</si>
  <si>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</si>
  <si>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</si>
  <si>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</si>
  <si>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</si>
  <si>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</si>
  <si>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</si>
  <si>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</si>
  <si>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</si>
  <si>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</si>
  <si>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</si>
  <si>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</si>
  <si>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</si>
  <si>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</si>
  <si>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</si>
  <si>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</si>
  <si>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</si>
  <si>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</si>
  <si>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</si>
  <si>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</si>
  <si>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</si>
  <si>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</si>
  <si>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</si>
  <si>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</si>
  <si>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</si>
  <si>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</si>
  <si>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</si>
  <si>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</si>
  <si>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</si>
  <si>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</si>
  <si>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</si>
  <si>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</si>
  <si>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</si>
  <si>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</si>
  <si>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</si>
  <si>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</si>
  <si>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</si>
  <si>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</si>
  <si>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</si>
  <si>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</si>
  <si>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</si>
  <si>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</si>
  <si>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</si>
  <si>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</si>
  <si>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</si>
  <si>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</si>
  <si>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</si>
  <si>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</si>
  <si>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</si>
  <si>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</si>
  <si>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</si>
  <si>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</si>
  <si>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</si>
  <si>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</si>
  <si>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</si>
  <si>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</si>
  <si>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</si>
  <si>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</si>
  <si>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</si>
  <si>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</si>
  <si>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</si>
  <si>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</si>
  <si>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</si>
  <si>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</si>
  <si>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</si>
  <si>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</si>
  <si>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</si>
  <si>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</si>
  <si>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</si>
  <si>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</si>
  <si>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</si>
  <si>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</si>
  <si>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</si>
  <si>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</si>
  <si>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</si>
  <si>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</si>
  <si>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</si>
  <si>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</si>
  <si>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</si>
  <si>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</si>
  <si>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</si>
  <si>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</si>
  <si>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</si>
  <si>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</si>
  <si>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</si>
  <si>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</si>
  <si>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</si>
  <si>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</si>
  <si>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</si>
  <si>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</si>
  <si>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</si>
  <si>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</si>
  <si>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</si>
  <si>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</si>
  <si>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</si>
  <si>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</si>
  <si>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</si>
  <si>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</si>
  <si>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</si>
  <si>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</si>
  <si>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</si>
  <si>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</si>
  <si>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</si>
  <si>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</si>
  <si>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</si>
  <si>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</si>
  <si>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</si>
  <si>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</si>
  <si>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</si>
  <si>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</si>
  <si>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</si>
  <si>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</si>
  <si>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</si>
  <si>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</si>
  <si>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</si>
  <si>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</si>
  <si>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</si>
  <si>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</si>
  <si>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</si>
  <si>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</si>
  <si>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</si>
  <si>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</si>
  <si>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</si>
  <si>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</si>
  <si>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</si>
  <si>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</si>
  <si>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</si>
  <si>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</si>
  <si>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</si>
  <si>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</si>
  <si>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</si>
  <si>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</si>
  <si>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</si>
  <si>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</si>
  <si>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</si>
  <si>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</si>
  <si>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</si>
  <si>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</si>
  <si>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</si>
  <si>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</si>
  <si>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</si>
  <si>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</si>
  <si>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</si>
  <si>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</si>
  <si>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</si>
  <si>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</si>
  <si>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</si>
  <si>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</si>
  <si>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</si>
  <si>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</si>
  <si>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</si>
  <si>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</si>
  <si>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</si>
  <si>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</si>
  <si>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</si>
  <si>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</si>
  <si>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</si>
  <si>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</si>
  <si>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</si>
  <si>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</si>
  <si>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</si>
  <si>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</si>
  <si>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</si>
  <si>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</si>
  <si>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</si>
  <si>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</si>
  <si>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</si>
  <si>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</si>
  <si>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</si>
  <si>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</si>
  <si>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</si>
  <si>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</si>
  <si>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</si>
  <si>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</si>
  <si>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</si>
  <si>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</si>
  <si>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</si>
  <si>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</si>
  <si>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</si>
  <si>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</si>
  <si>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</si>
  <si>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</si>
  <si>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</si>
  <si>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</si>
  <si>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</si>
  <si>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</si>
  <si>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</si>
  <si>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</si>
  <si>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</si>
  <si>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</si>
  <si>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</si>
  <si>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</si>
  <si>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</si>
  <si>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</si>
  <si>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</si>
  <si>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</si>
  <si>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</si>
  <si>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</si>
  <si>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</si>
  <si>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</si>
  <si>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</si>
  <si>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</si>
  <si>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</si>
  <si>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</si>
  <si>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</si>
  <si>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</si>
  <si>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</si>
  <si>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</si>
  <si>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</si>
  <si>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</si>
  <si>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</si>
  <si>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</si>
  <si>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</si>
  <si>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</si>
  <si>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</si>
  <si>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</si>
  <si>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</si>
  <si>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</si>
  <si>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</si>
  <si>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</si>
  <si>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</si>
  <si>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</si>
  <si>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</si>
  <si>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</si>
  <si>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</si>
  <si>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</si>
  <si>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</si>
  <si>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</si>
  <si>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</si>
  <si>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</si>
  <si>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</si>
  <si>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</si>
  <si>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</si>
  <si>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</si>
  <si>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</si>
  <si>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</si>
  <si>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</si>
  <si>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</si>
  <si>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</si>
  <si>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</si>
  <si>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</si>
  <si>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</si>
  <si>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</si>
  <si>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</si>
  <si>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</si>
  <si>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</si>
  <si>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</si>
  <si>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</si>
  <si>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</si>
  <si>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</si>
  <si>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</si>
  <si>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</si>
  <si>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</si>
  <si>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</si>
  <si>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</si>
  <si>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</si>
  <si>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</si>
  <si>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</si>
  <si>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</si>
  <si>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</si>
  <si>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</si>
  <si>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</si>
  <si>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</si>
  <si>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</si>
  <si>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</si>
  <si>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</si>
  <si>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</si>
  <si>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</si>
  <si>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</si>
  <si>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</si>
  <si>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</si>
  <si>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</si>
  <si>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</si>
  <si>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</si>
  <si>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</si>
  <si>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</si>
  <si>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</si>
  <si>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</si>
  <si>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</si>
  <si>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</si>
  <si>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</si>
  <si>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</si>
  <si>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</si>
  <si>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</si>
  <si>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</si>
  <si>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</si>
  <si>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</si>
  <si>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</si>
  <si>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</si>
  <si>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</si>
  <si>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</si>
  <si>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</si>
  <si>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</si>
  <si>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</si>
  <si>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</si>
  <si>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</si>
  <si>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</si>
  <si>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</si>
  <si>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</si>
  <si>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</si>
  <si>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</si>
  <si>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</si>
  <si>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</si>
  <si>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</si>
  <si>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</si>
  <si>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</si>
  <si>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</si>
  <si>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</si>
  <si>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</si>
  <si>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</si>
  <si>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</si>
  <si>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</si>
  <si>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</si>
  <si>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</si>
  <si>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</si>
  <si>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</si>
  <si>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</si>
  <si>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</si>
  <si>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</si>
  <si>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</si>
  <si>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</si>
  <si>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</si>
  <si>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</si>
  <si>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</si>
  <si>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</si>
  <si>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</si>
  <si>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</si>
  <si>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</si>
  <si>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</si>
  <si>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</si>
  <si>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</si>
  <si>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</si>
  <si>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</si>
  <si>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</si>
  <si>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</si>
  <si>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</si>
  <si>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</si>
  <si>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</si>
  <si>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</si>
  <si>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</si>
  <si>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</si>
  <si>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</si>
  <si>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</si>
  <si>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</si>
  <si>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</si>
  <si>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</si>
  <si>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</si>
  <si>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</si>
  <si>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</si>
  <si>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</si>
  <si>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</si>
  <si>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</si>
  <si>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</si>
  <si>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</si>
  <si>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</si>
  <si>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</si>
  <si>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</si>
  <si>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</si>
  <si>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</si>
  <si>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</si>
  <si>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</si>
  <si>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</si>
  <si>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</si>
  <si>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</si>
  <si>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</si>
  <si>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</si>
  <si>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</si>
  <si>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</si>
  <si>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</si>
  <si>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</si>
  <si>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</si>
  <si>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</si>
  <si>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</si>
  <si>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</si>
  <si>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</si>
  <si>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</si>
  <si>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</si>
  <si>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</si>
  <si>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</si>
  <si>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</si>
  <si>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</si>
  <si>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</si>
  <si>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</si>
  <si>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</si>
  <si>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</si>
  <si>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</si>
  <si>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</si>
  <si>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</si>
  <si>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</si>
  <si>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</si>
  <si>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</si>
  <si>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</si>
  <si>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</si>
  <si>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</si>
  <si>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</si>
  <si>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</si>
  <si>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</si>
  <si>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</si>
  <si>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</si>
  <si>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</si>
  <si>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</si>
  <si>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</si>
  <si>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</si>
  <si>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</si>
  <si>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</si>
  <si>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</si>
  <si>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</si>
  <si>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</si>
  <si>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</si>
  <si>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</si>
  <si>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</si>
  <si>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</si>
  <si>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</si>
  <si>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</si>
  <si>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</si>
  <si>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</si>
  <si>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</si>
  <si>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</si>
  <si>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</si>
  <si>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</si>
  <si>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</si>
  <si>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</si>
  <si>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</si>
  <si>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</si>
  <si>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</si>
  <si>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</si>
  <si>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</si>
  <si>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</si>
  <si>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</si>
  <si>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</si>
  <si>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</si>
  <si>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</si>
  <si>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</si>
  <si>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</si>
  <si>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</si>
  <si>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</si>
  <si>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</si>
  <si>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</si>
  <si>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</si>
  <si>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</si>
  <si>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</si>
  <si>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</si>
  <si>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</si>
  <si>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</si>
  <si>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</si>
  <si>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</si>
  <si>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</si>
  <si>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</si>
  <si>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</si>
  <si>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</si>
  <si>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</si>
  <si>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</si>
  <si>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</si>
  <si>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</si>
  <si>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</si>
  <si>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</si>
  <si>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</si>
  <si>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</si>
  <si>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</si>
  <si>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</si>
  <si>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</si>
  <si>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</si>
  <si>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</si>
  <si>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</si>
  <si>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</si>
  <si>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</si>
  <si>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</si>
  <si>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</si>
  <si>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</si>
  <si>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</si>
  <si>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</si>
  <si>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</si>
  <si>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</si>
  <si>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</si>
  <si>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</si>
  <si>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</si>
  <si>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</si>
  <si>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</si>
  <si>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</si>
  <si>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</si>
  <si>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</si>
  <si>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</si>
  <si>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</si>
  <si>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</si>
  <si>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</si>
  <si>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</si>
  <si>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</si>
  <si>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</si>
  <si>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</si>
  <si>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</si>
  <si>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</si>
  <si>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</si>
  <si>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</si>
  <si>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</si>
  <si>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</si>
  <si>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</si>
  <si>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</si>
  <si>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</si>
  <si>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</si>
  <si>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</si>
  <si>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</si>
  <si>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</si>
  <si>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</si>
  <si>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</si>
  <si>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</si>
  <si>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</si>
  <si>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</si>
  <si>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</si>
  <si>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</si>
  <si>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</si>
  <si>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</si>
  <si>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</si>
  <si>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</si>
  <si>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</si>
  <si>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</si>
  <si>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</si>
  <si>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</si>
  <si>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</si>
  <si>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</si>
  <si>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</si>
  <si>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</si>
  <si>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</si>
  <si>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</si>
  <si>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</si>
  <si>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</si>
  <si>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</si>
  <si>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</si>
  <si>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</si>
  <si>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</si>
  <si>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</si>
  <si>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</si>
  <si>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</si>
  <si>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</si>
  <si>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</si>
  <si>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</si>
  <si>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</si>
  <si>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</si>
  <si>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</si>
  <si>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</si>
  <si>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</si>
  <si>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</si>
  <si>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</si>
  <si>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</si>
  <si>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</si>
  <si>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</si>
  <si>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</si>
  <si>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</si>
  <si>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</si>
  <si>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</si>
  <si>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</si>
  <si>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</si>
  <si>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</si>
  <si>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</si>
  <si>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</si>
  <si>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</si>
  <si>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</si>
  <si>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</si>
  <si>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</si>
  <si>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</si>
  <si>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</si>
  <si>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</si>
  <si>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</si>
  <si>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</si>
  <si>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</si>
  <si>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</si>
  <si>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</si>
  <si>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</si>
  <si>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</si>
  <si>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</si>
  <si>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</si>
  <si>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</si>
  <si>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</si>
  <si>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</si>
  <si>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</si>
  <si>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</si>
  <si>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</si>
  <si>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</si>
  <si>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</si>
  <si>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</si>
  <si>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</si>
  <si>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</si>
  <si>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</si>
  <si>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</si>
  <si>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</si>
  <si>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</si>
  <si>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</si>
  <si>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</si>
  <si>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</si>
  <si>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</si>
  <si>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</si>
  <si>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</si>
  <si>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</si>
  <si>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</si>
  <si>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</si>
  <si>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</si>
  <si>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</si>
  <si>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</si>
  <si>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</si>
  <si>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</si>
  <si>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</si>
  <si>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</si>
  <si>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</si>
  <si>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</si>
  <si>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</si>
  <si>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</si>
  <si>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</si>
  <si>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</si>
  <si>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</si>
  <si>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</si>
  <si>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</si>
  <si>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</si>
  <si>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</si>
  <si>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</si>
  <si>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</si>
  <si>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</si>
  <si>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</si>
  <si>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</si>
  <si>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</si>
  <si>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</si>
  <si>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</si>
  <si>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</si>
  <si>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</si>
  <si>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</si>
  <si>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</si>
  <si>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</si>
  <si>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</si>
  <si>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</si>
  <si>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</si>
  <si>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</si>
  <si>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</si>
  <si>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</si>
  <si>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</si>
  <si>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</si>
  <si>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</si>
  <si>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</si>
  <si>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</si>
  <si>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</si>
  <si>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</si>
  <si>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</si>
  <si>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</si>
  <si>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</si>
  <si>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</si>
  <si>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</si>
  <si>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</si>
  <si>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</si>
  <si>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</si>
  <si>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</si>
  <si>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</si>
  <si>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</si>
  <si>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</si>
  <si>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</si>
  <si>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</si>
  <si>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</si>
  <si>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</si>
  <si>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</si>
  <si>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</si>
  <si>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</si>
  <si>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</si>
  <si>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</si>
  <si>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</si>
  <si>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</si>
  <si>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</si>
  <si>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</si>
  <si>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</si>
  <si>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</si>
  <si>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</si>
  <si>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</si>
  <si>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</si>
  <si>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</si>
  <si>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</si>
  <si>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</si>
  <si>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</si>
  <si>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</si>
  <si>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</si>
  <si>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</si>
  <si>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</si>
  <si>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</si>
  <si>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</si>
  <si>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</si>
  <si>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</si>
  <si>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</si>
  <si>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</si>
  <si>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</si>
  <si>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</si>
  <si>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</si>
  <si>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</si>
  <si>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</si>
  <si>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</si>
  <si>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</si>
  <si>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</si>
  <si>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</si>
  <si>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</si>
  <si>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</si>
  <si>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</si>
  <si>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</si>
  <si>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</si>
  <si>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</si>
  <si>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</si>
  <si>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</si>
  <si>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</si>
  <si>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</si>
  <si>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</si>
  <si>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</si>
  <si>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</si>
  <si>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</si>
  <si>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</si>
  <si>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</si>
  <si>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</si>
  <si>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</si>
  <si>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</si>
  <si>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</si>
  <si>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</si>
  <si>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</si>
  <si>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</si>
  <si>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</si>
  <si>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</si>
  <si>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</si>
  <si>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</si>
  <si>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</si>
  <si>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</si>
  <si>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</si>
  <si>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</si>
  <si>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</si>
  <si>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</si>
  <si>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</si>
  <si>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</si>
  <si>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</si>
  <si>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</si>
  <si>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</si>
  <si>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</si>
  <si>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</si>
  <si>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</si>
  <si>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</si>
  <si>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</si>
  <si>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</si>
  <si>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</si>
  <si>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</si>
  <si>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</si>
  <si>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</si>
  <si>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</si>
  <si>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</si>
  <si>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</si>
  <si>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</si>
  <si>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</si>
  <si>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</si>
  <si>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</si>
  <si>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</si>
  <si>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</si>
  <si>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</si>
  <si>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</si>
  <si>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</si>
  <si>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</si>
  <si>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</si>
  <si>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</si>
  <si>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</si>
  <si>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</si>
  <si>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</si>
  <si>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</si>
  <si>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</si>
  <si>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</si>
  <si>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</si>
  <si>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</si>
  <si>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</si>
  <si>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</si>
  <si>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</si>
  <si>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</si>
  <si>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</si>
  <si>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</si>
  <si>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</si>
  <si>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</si>
  <si>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</si>
  <si>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</si>
  <si>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</si>
  <si>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</si>
  <si>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</si>
  <si>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</si>
  <si>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</si>
  <si>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</si>
  <si>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</si>
  <si>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</si>
  <si>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</si>
  <si>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</si>
  <si>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</si>
  <si>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</si>
  <si>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</si>
  <si>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</si>
  <si>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</si>
  <si>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</si>
  <si>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</si>
  <si>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</si>
  <si>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</si>
  <si>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</si>
  <si>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</si>
  <si>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</si>
  <si>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</si>
  <si>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</si>
  <si>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</si>
  <si>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</si>
  <si>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</si>
  <si>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</si>
  <si>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</si>
  <si>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</si>
  <si>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</si>
  <si>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</si>
  <si>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</si>
  <si>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</si>
  <si>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</si>
  <si>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</si>
  <si>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</si>
  <si>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</si>
  <si>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</si>
  <si>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</si>
  <si>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</si>
  <si>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</si>
  <si>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</si>
  <si>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</si>
  <si>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</si>
  <si>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</si>
  <si>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</si>
  <si>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</si>
  <si>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</si>
  <si>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</si>
  <si>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</si>
  <si>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</si>
  <si>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</si>
  <si>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</si>
  <si>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</si>
  <si>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</si>
  <si>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</si>
  <si>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</si>
  <si>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</si>
  <si>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</si>
  <si>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</si>
  <si>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</si>
  <si>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</si>
  <si>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</si>
  <si>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</si>
  <si>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</si>
  <si>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</si>
  <si>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</si>
  <si>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</si>
  <si>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</si>
  <si>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</si>
  <si>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</si>
  <si>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</si>
  <si>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</si>
  <si>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</si>
  <si>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</si>
  <si>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</si>
  <si>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</si>
  <si>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</si>
  <si>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</si>
  <si>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</si>
  <si>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</si>
  <si>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</si>
  <si>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</si>
  <si>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</si>
  <si>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</si>
  <si>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</si>
  <si>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</si>
  <si>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</si>
  <si>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</si>
  <si>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</si>
  <si>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</si>
  <si>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</si>
  <si>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</si>
  <si>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</si>
  <si>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</si>
  <si>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</si>
  <si>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</si>
  <si>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</si>
  <si>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</si>
  <si>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</si>
  <si>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</si>
  <si>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</si>
  <si>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</si>
  <si>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</si>
  <si>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</si>
  <si>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</si>
  <si>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</si>
  <si>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</si>
  <si>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</si>
  <si>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</si>
  <si>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</si>
  <si>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</si>
  <si>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</si>
  <si>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</si>
  <si>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</si>
  <si>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</si>
  <si>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</si>
  <si>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</si>
  <si>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</si>
  <si>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</si>
  <si>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</si>
  <si>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</si>
  <si>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</si>
  <si>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</si>
  <si>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</si>
  <si>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</si>
  <si>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</si>
  <si>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</si>
  <si>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</si>
  <si>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</si>
  <si>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</si>
  <si>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</si>
  <si>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</si>
  <si>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</si>
  <si>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</si>
  <si>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</si>
  <si>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</si>
  <si>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</si>
  <si>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</si>
  <si>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</si>
  <si>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</si>
  <si>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</si>
  <si>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</si>
  <si>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</si>
  <si>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</si>
  <si>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</si>
  <si>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</si>
  <si>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</si>
  <si>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</si>
  <si>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</si>
  <si>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</si>
  <si>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</si>
  <si>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</si>
  <si>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</si>
  <si>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</si>
  <si>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</si>
  <si>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</si>
  <si>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</si>
  <si>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</si>
  <si>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</si>
  <si>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</si>
  <si>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</si>
  <si>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</si>
  <si>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</si>
  <si>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</si>
  <si>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</si>
  <si>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</si>
  <si>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</si>
  <si>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</si>
  <si>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</si>
  <si>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</si>
  <si>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</si>
  <si>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</si>
  <si>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</si>
  <si>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</si>
  <si>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</si>
  <si>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</si>
  <si>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</si>
  <si>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</si>
  <si>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</si>
  <si>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</si>
  <si>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</si>
  <si>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</si>
  <si>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</si>
  <si>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</si>
  <si>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</si>
  <si>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</si>
  <si>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</si>
  <si>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</si>
  <si>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</si>
  <si>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</si>
  <si>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</si>
  <si>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</si>
  <si>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</si>
  <si>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</si>
  <si>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</si>
  <si>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</si>
  <si>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</si>
  <si>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</si>
  <si>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</si>
  <si>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</si>
  <si>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</si>
  <si>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</si>
  <si>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</si>
  <si>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</si>
  <si>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</si>
  <si>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</si>
  <si>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</si>
  <si>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</si>
  <si>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</si>
  <si>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</si>
  <si>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</si>
  <si>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</si>
  <si>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</si>
  <si>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</si>
  <si>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</si>
  <si>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</si>
  <si>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</si>
  <si>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</si>
  <si>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</si>
  <si>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</si>
  <si>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</si>
  <si>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</si>
  <si>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</si>
  <si>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</si>
  <si>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</si>
  <si>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</si>
  <si>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</si>
  <si>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</si>
  <si>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</si>
  <si>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</si>
  <si>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</si>
  <si>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</si>
  <si>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</si>
  <si>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</si>
  <si>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</si>
  <si>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</si>
  <si>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</si>
  <si>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</si>
  <si>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</si>
  <si>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</si>
  <si>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</si>
  <si>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</si>
  <si>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</si>
  <si>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</si>
  <si>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</si>
  <si>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</si>
  <si>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</si>
  <si>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</si>
  <si>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</si>
  <si>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</si>
  <si>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</si>
  <si>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</si>
  <si>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</si>
  <si>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</si>
  <si>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</si>
  <si>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</si>
  <si>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</si>
  <si>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</si>
  <si>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</si>
  <si>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</si>
  <si>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</si>
  <si>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</si>
  <si>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</si>
  <si>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</si>
  <si>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</si>
  <si>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</si>
  <si>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</si>
  <si>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</si>
  <si>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</si>
  <si>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</si>
  <si>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</si>
  <si>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</si>
  <si>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</si>
  <si>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</si>
  <si>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</si>
  <si>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</si>
  <si>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</si>
  <si>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</si>
  <si>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</si>
  <si>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</si>
  <si>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</si>
  <si>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</si>
  <si>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</si>
  <si>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</si>
  <si>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</si>
  <si>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</si>
  <si>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</si>
  <si>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</si>
  <si>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</si>
  <si>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</si>
  <si>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</si>
  <si>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</si>
  <si>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</si>
  <si>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</si>
  <si>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</si>
  <si>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</si>
  <si>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</si>
  <si>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</si>
  <si>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</si>
  <si>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</si>
  <si>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</si>
  <si>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</si>
  <si>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</si>
  <si>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</si>
  <si>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</si>
  <si>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</si>
  <si>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</si>
  <si>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</si>
  <si>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</si>
  <si>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</si>
  <si>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</si>
  <si>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</si>
  <si>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</si>
  <si>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</si>
  <si>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</si>
  <si>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</si>
  <si>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</si>
  <si>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</si>
  <si>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</si>
  <si>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</si>
  <si>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</si>
  <si>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</si>
  <si>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</si>
  <si>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</si>
  <si>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</si>
  <si>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</si>
  <si>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</si>
  <si>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</si>
  <si>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</si>
  <si>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</si>
  <si>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</si>
  <si>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</si>
  <si>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</si>
  <si>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</si>
  <si>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</si>
  <si>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</si>
  <si>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</si>
  <si>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</si>
  <si>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</si>
  <si>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</si>
  <si>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</si>
  <si>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</si>
  <si>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</si>
  <si>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</si>
  <si>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</si>
  <si>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</si>
  <si>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</si>
  <si>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</si>
  <si>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</si>
  <si>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</si>
  <si>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</si>
  <si>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</si>
  <si>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</si>
  <si>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</si>
  <si>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</si>
  <si>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</si>
  <si>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</si>
  <si>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</si>
  <si>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</si>
  <si>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</si>
  <si>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</si>
  <si>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</si>
  <si>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</si>
  <si>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</si>
  <si>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</si>
  <si>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</si>
  <si>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</si>
  <si>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</si>
  <si>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</si>
  <si>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</si>
  <si>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</si>
  <si>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</si>
  <si>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</si>
  <si>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</si>
  <si>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</si>
  <si>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</si>
  <si>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</si>
  <si>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</si>
  <si>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</si>
  <si>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</si>
  <si>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</si>
  <si>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</si>
  <si>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</si>
  <si>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</si>
  <si>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</si>
  <si>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</si>
  <si>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</si>
  <si>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</si>
  <si>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</si>
  <si>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</si>
  <si>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</si>
  <si>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</si>
  <si>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</si>
  <si>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</si>
  <si>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</si>
  <si>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</si>
  <si>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</si>
  <si>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</si>
  <si>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</si>
  <si>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</si>
  <si>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</si>
  <si>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</si>
  <si>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</si>
  <si>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</si>
  <si>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</si>
  <si>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</si>
  <si>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</si>
  <si>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</si>
  <si>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</si>
  <si>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</si>
  <si>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</si>
  <si>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</si>
  <si>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</si>
  <si>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</si>
  <si>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</si>
  <si>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</si>
  <si>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</si>
  <si>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</si>
  <si>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</si>
  <si>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</si>
  <si>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</si>
  <si>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</si>
  <si>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</si>
  <si>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</si>
  <si>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</si>
  <si>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</si>
  <si>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</si>
  <si>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</si>
  <si>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</si>
  <si>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</si>
  <si>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</si>
  <si>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</si>
  <si>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</si>
  <si>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</si>
  <si>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</si>
  <si>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</si>
  <si>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</si>
  <si>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</si>
  <si>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</si>
  <si>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</si>
  <si>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</si>
  <si>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</si>
  <si>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</si>
  <si>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</si>
  <si>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</si>
  <si>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</si>
  <si>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</si>
  <si>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</si>
  <si>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</si>
  <si>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</si>
  <si>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</si>
  <si>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</si>
  <si>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</si>
  <si>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</si>
  <si>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</si>
  <si>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</si>
  <si>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</si>
  <si>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</si>
  <si>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</si>
  <si>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</si>
  <si>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</si>
  <si>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</si>
  <si>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</si>
  <si>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</si>
  <si>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</si>
  <si>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</si>
  <si>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</si>
  <si>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</si>
  <si>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</si>
  <si>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</si>
  <si>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</si>
  <si>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</si>
  <si>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</si>
  <si>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</si>
  <si>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</si>
  <si>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</si>
  <si>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</si>
  <si>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</si>
  <si>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</si>
  <si>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</si>
  <si>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</si>
  <si>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</si>
  <si>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</si>
  <si>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</si>
  <si>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</si>
  <si>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</si>
  <si>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</si>
  <si>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</si>
  <si>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</si>
  <si>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</si>
  <si>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</si>
  <si>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</si>
  <si>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</si>
  <si>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</si>
  <si>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</si>
  <si>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</si>
  <si>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</si>
  <si>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</si>
  <si>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</si>
  <si>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</si>
  <si>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</si>
  <si>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</si>
  <si>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</si>
  <si>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</si>
  <si>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</si>
  <si>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</si>
  <si>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</si>
  <si>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</si>
  <si>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</si>
  <si>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</si>
  <si>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</si>
  <si>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</si>
  <si>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</si>
  <si>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</si>
  <si>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</si>
  <si>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</si>
  <si>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</si>
  <si>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</si>
  <si>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</si>
  <si>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</si>
  <si>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</si>
  <si>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</si>
  <si>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</si>
  <si>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</si>
  <si>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</si>
  <si>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</si>
  <si>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</si>
  <si>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</si>
  <si>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</si>
  <si>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</si>
  <si>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</si>
  <si>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</si>
  <si>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</si>
  <si>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</si>
  <si>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</si>
  <si>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</si>
  <si>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</si>
  <si>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</si>
  <si>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</si>
  <si>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</si>
  <si>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</si>
  <si>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</si>
  <si>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</si>
  <si>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</si>
  <si>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</si>
  <si>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</si>
  <si>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</si>
  <si>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</si>
  <si>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</si>
  <si>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</si>
  <si>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</si>
  <si>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</si>
  <si>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</si>
  <si>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</si>
  <si>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</si>
  <si>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</si>
  <si>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</si>
  <si>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</si>
  <si>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</si>
  <si>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</si>
  <si>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</si>
  <si>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</si>
  <si>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</si>
  <si>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</si>
  <si>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</si>
  <si>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</si>
  <si>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</si>
  <si>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</si>
  <si>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</si>
  <si>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</si>
  <si>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</si>
  <si>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</si>
  <si>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</si>
  <si>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</si>
  <si>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</si>
  <si>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</si>
  <si>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</si>
  <si>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</si>
  <si>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</si>
  <si>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</si>
  <si>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</si>
  <si>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</si>
  <si>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</si>
  <si>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</si>
  <si>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</si>
  <si>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</si>
  <si>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</si>
  <si>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</si>
  <si>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</si>
  <si>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</si>
  <si>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</si>
  <si>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</si>
  <si>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</si>
  <si>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</si>
  <si>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</si>
  <si>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</si>
  <si>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</si>
  <si>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</si>
  <si>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</si>
  <si>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</si>
  <si>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</si>
  <si>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</si>
  <si>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</si>
  <si>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</si>
  <si>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</si>
  <si>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</si>
  <si>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</si>
  <si>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</si>
  <si>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</si>
  <si>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</si>
  <si>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</si>
  <si>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</si>
  <si>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</si>
  <si>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</si>
  <si>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</si>
  <si>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</si>
  <si>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</si>
  <si>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</si>
  <si>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</si>
  <si>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</si>
  <si>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</si>
  <si>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</si>
  <si>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</si>
  <si>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</si>
  <si>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</si>
  <si>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</si>
  <si>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</si>
  <si>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</si>
  <si>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</si>
  <si>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</si>
  <si>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</si>
  <si>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</si>
  <si>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</si>
  <si>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</si>
  <si>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</si>
  <si>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</si>
  <si>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</si>
  <si>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</si>
  <si>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</si>
  <si>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</si>
  <si>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</si>
  <si>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</si>
  <si>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</si>
  <si>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</si>
  <si>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</si>
  <si>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</si>
  <si>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</si>
  <si>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</si>
  <si>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</si>
  <si>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</si>
  <si>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</si>
  <si>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</si>
  <si>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</si>
  <si>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</si>
  <si>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</si>
  <si>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</si>
  <si>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</si>
  <si>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</si>
  <si>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</si>
  <si>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</si>
  <si>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</si>
  <si>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</si>
  <si>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</si>
  <si>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</si>
  <si>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</si>
  <si>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</si>
  <si>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</si>
  <si>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</si>
  <si>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</si>
  <si>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</si>
  <si>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</si>
  <si>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</si>
  <si>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</si>
  <si>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</si>
  <si>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</si>
  <si>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</si>
  <si>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</si>
  <si>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</si>
  <si>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</si>
  <si>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</si>
  <si>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</si>
  <si>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</si>
  <si>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</si>
  <si>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</si>
  <si>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</si>
  <si>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</si>
  <si>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</si>
  <si>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</si>
  <si>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</si>
  <si>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</si>
  <si>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</si>
  <si>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</si>
  <si>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</si>
  <si>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</si>
  <si>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</si>
  <si>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</si>
  <si>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</si>
  <si>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</si>
  <si>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</si>
  <si>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</si>
  <si>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</si>
  <si>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</si>
  <si>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</si>
  <si>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</si>
  <si>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</si>
  <si>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</si>
  <si>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</si>
  <si>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</si>
  <si>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</si>
  <si>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</si>
  <si>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</si>
  <si>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</si>
  <si>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</si>
  <si>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</si>
  <si>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</si>
  <si>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</si>
  <si>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</si>
  <si>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</si>
  <si>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</si>
  <si>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</si>
  <si>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</si>
  <si>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</si>
  <si>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</si>
  <si>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</si>
  <si>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</si>
  <si>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</si>
  <si>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</si>
  <si>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</si>
  <si>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</si>
  <si>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</si>
  <si>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</si>
  <si>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</si>
  <si>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</si>
  <si>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</si>
  <si>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</si>
  <si>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</si>
  <si>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</si>
  <si>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</si>
  <si>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</si>
  <si>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</si>
  <si>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</si>
  <si>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</si>
  <si>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</si>
  <si>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</si>
  <si>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</si>
  <si>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</si>
  <si>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</si>
  <si>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</si>
  <si>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</si>
  <si>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</si>
  <si>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</si>
  <si>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</si>
  <si>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</si>
  <si>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</si>
  <si>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</si>
  <si>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</si>
  <si>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</si>
  <si>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</si>
  <si>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</si>
  <si>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</si>
  <si>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</si>
  <si>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</si>
  <si>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</si>
  <si>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</si>
  <si>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</si>
  <si>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</si>
  <si>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</si>
  <si>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</si>
  <si>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</si>
  <si>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</si>
  <si>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</si>
  <si>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</si>
  <si>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</si>
  <si>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</si>
  <si>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</si>
  <si>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</si>
  <si>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</si>
  <si>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</si>
  <si>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</si>
  <si>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</si>
  <si>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</si>
  <si>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</si>
  <si>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</si>
  <si>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</si>
  <si>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</si>
  <si>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</si>
  <si>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</si>
  <si>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</si>
  <si>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</si>
  <si>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</si>
  <si>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</si>
  <si>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</si>
  <si>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</si>
  <si>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</si>
  <si>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</si>
  <si>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</si>
  <si>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</si>
  <si>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</si>
  <si>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</si>
  <si>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</si>
  <si>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</si>
  <si>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</si>
  <si>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</si>
  <si>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</si>
  <si>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</si>
  <si>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</si>
  <si>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</si>
  <si>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</si>
  <si>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</si>
  <si>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</si>
  <si>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</si>
  <si>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</si>
  <si>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</si>
  <si>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</si>
  <si>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</si>
  <si>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</si>
  <si>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</si>
  <si>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</si>
  <si>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</si>
  <si>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</si>
  <si>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</si>
  <si>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</si>
  <si>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</si>
  <si>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</si>
  <si>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</si>
  <si>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</si>
  <si>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</si>
  <si>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</si>
  <si>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</si>
  <si>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</si>
  <si>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</si>
  <si>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</si>
  <si>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</si>
  <si>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</si>
  <si>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</si>
  <si>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</si>
  <si>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</si>
  <si>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</si>
  <si>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</si>
  <si>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</si>
  <si>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</si>
  <si>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</si>
  <si>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</si>
  <si>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</si>
  <si>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</si>
  <si>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</si>
  <si>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</si>
  <si>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</si>
  <si>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</si>
  <si>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</si>
  <si>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</si>
  <si>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</si>
  <si>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</si>
  <si>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</si>
  <si>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</si>
  <si>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</si>
  <si>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</si>
  <si>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</si>
  <si>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</si>
  <si>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</si>
  <si>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</si>
  <si>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</si>
  <si>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</si>
  <si>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</si>
  <si>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</si>
  <si>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</si>
  <si>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</si>
  <si>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</si>
  <si>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</si>
  <si>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</si>
  <si>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</si>
  <si>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</si>
  <si>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</si>
  <si>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</si>
  <si>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</si>
  <si>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</si>
  <si>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</si>
  <si>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</si>
  <si>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</si>
  <si>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</si>
  <si>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</si>
  <si>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</si>
  <si>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</si>
  <si>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</si>
  <si>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</si>
  <si>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</si>
  <si>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</si>
  <si>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</si>
  <si>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</si>
  <si>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</si>
  <si>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</si>
  <si>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</si>
  <si>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</si>
  <si>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</si>
  <si>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</si>
  <si>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</si>
  <si>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</si>
  <si>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</si>
  <si>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</si>
  <si>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</si>
  <si>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</si>
  <si>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</si>
  <si>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</si>
  <si>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</si>
  <si>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</si>
  <si>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</si>
  <si>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</si>
  <si>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</si>
  <si>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</si>
  <si>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</si>
  <si>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</si>
  <si>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</si>
  <si>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</si>
  <si>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</si>
  <si>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</si>
  <si>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</si>
  <si>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</si>
  <si>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</si>
  <si>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</si>
  <si>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</si>
  <si>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</si>
  <si>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</si>
  <si>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</si>
  <si>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</si>
  <si>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</si>
  <si>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</si>
  <si>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</si>
  <si>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</si>
  <si>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</si>
  <si>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</si>
  <si>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</si>
  <si>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</si>
  <si>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</si>
  <si>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</si>
  <si>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</si>
  <si>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</si>
  <si>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</si>
  <si>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</si>
  <si>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</si>
  <si>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</si>
  <si>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</si>
  <si>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</si>
  <si>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</si>
  <si>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</si>
  <si>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</si>
  <si>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</si>
  <si>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</si>
  <si>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</si>
  <si>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</si>
  <si>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</si>
  <si>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</si>
  <si>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</si>
  <si>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</si>
  <si>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</si>
  <si>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</si>
  <si>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</si>
  <si>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</si>
  <si>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</si>
  <si>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</si>
  <si>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</si>
  <si>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</si>
  <si>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</si>
  <si>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</si>
  <si>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</si>
  <si>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</si>
  <si>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</si>
  <si>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</si>
  <si>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</si>
  <si>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</si>
  <si>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</si>
  <si>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</si>
  <si>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</si>
  <si>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</si>
  <si>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</si>
  <si>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</si>
  <si>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</si>
  <si>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</si>
  <si>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</si>
  <si>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</si>
  <si>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</si>
  <si>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</si>
  <si>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</si>
  <si>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</si>
  <si>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</si>
  <si>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</si>
  <si>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</si>
  <si>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</si>
  <si>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</si>
  <si>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</si>
  <si>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</si>
  <si>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</si>
  <si>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</si>
  <si>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</si>
  <si>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</si>
  <si>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</si>
  <si>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</si>
  <si>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</si>
  <si>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</si>
  <si>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</si>
  <si>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</si>
  <si>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</si>
  <si>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</si>
  <si>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</si>
  <si>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</si>
  <si>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</si>
  <si>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</si>
  <si>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</si>
  <si>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</si>
  <si>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</si>
  <si>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</si>
  <si>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</si>
  <si>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</si>
  <si>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</si>
  <si>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</si>
  <si>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</si>
  <si>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</si>
  <si>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</si>
  <si>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</si>
  <si>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</si>
  <si>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</si>
  <si>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</si>
  <si>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</si>
  <si>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</si>
  <si>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</si>
  <si>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</si>
  <si>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</si>
  <si>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</si>
  <si>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</si>
  <si>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</si>
  <si>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</si>
  <si>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</si>
  <si>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</si>
  <si>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</si>
  <si>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</si>
  <si>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</si>
  <si>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</si>
  <si>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</si>
  <si>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</si>
  <si>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</si>
  <si>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</si>
  <si>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</si>
  <si>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</si>
  <si>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</si>
  <si>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</si>
  <si>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</si>
  <si>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</si>
  <si>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</si>
  <si>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</si>
  <si>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</si>
  <si>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</si>
  <si>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</si>
  <si>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</si>
  <si>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</si>
  <si>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</si>
  <si>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</si>
  <si>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</si>
  <si>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</si>
  <si>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</si>
  <si>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</si>
  <si>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</si>
  <si>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</si>
  <si>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</si>
  <si>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</si>
  <si>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</si>
  <si>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</si>
  <si>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</si>
  <si>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</si>
  <si>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</si>
  <si>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</si>
  <si>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</si>
  <si>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</si>
  <si>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</si>
  <si>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</si>
  <si>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</si>
  <si>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</si>
  <si>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</si>
  <si>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</si>
  <si>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</si>
  <si>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</si>
  <si>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</si>
  <si>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</si>
  <si>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</si>
  <si>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</si>
  <si>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</si>
  <si>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</si>
  <si>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</si>
  <si>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</si>
  <si>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</si>
  <si>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</si>
  <si>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</si>
  <si>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</si>
  <si>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</si>
  <si>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</si>
  <si>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</si>
  <si>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</si>
  <si>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</si>
  <si>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</si>
  <si>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</si>
  <si>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</si>
  <si>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</si>
  <si>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</si>
  <si>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</si>
  <si>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</si>
  <si>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</si>
  <si>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</si>
  <si>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</si>
  <si>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</si>
  <si>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</si>
  <si>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</si>
  <si>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</si>
  <si>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</si>
  <si>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</si>
  <si>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</si>
  <si>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</si>
  <si>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</si>
  <si>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</si>
  <si>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</si>
  <si>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</si>
  <si>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</si>
  <si>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</si>
  <si>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</si>
  <si>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</si>
  <si>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</si>
  <si>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</si>
  <si>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</si>
  <si>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</si>
  <si>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</si>
  <si>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</si>
  <si>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</si>
  <si>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</si>
  <si>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</si>
  <si>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</si>
  <si>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</si>
  <si>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</si>
  <si>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</si>
  <si>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</si>
  <si>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</si>
  <si>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</si>
  <si>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</si>
  <si>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</si>
  <si>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</si>
  <si>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</si>
  <si>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</si>
  <si>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</si>
  <si>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</si>
  <si>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</si>
  <si>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</si>
  <si>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</si>
  <si>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</si>
  <si>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</si>
  <si>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</si>
  <si>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</si>
  <si>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</si>
  <si>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</si>
  <si>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</si>
  <si>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</si>
  <si>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</si>
  <si>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</si>
  <si>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</si>
  <si>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</si>
  <si>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</si>
  <si>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</si>
  <si>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</si>
  <si>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</si>
  <si>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</si>
  <si>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</si>
  <si>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</si>
  <si>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</si>
  <si>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</si>
  <si>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</si>
  <si>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</si>
  <si>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</si>
  <si>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</si>
  <si>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</si>
  <si>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</si>
  <si>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</si>
  <si>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</si>
  <si>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</si>
  <si>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</si>
  <si>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</si>
  <si>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</si>
  <si>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</si>
  <si>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</si>
  <si>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</si>
  <si>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</si>
  <si>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</si>
  <si>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</si>
  <si>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</si>
  <si>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</si>
  <si>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</si>
  <si>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</si>
  <si>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</si>
  <si>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</si>
  <si>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</si>
  <si>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</si>
  <si>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</si>
  <si>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</si>
  <si>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</si>
  <si>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</si>
  <si>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</si>
  <si>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</si>
  <si>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</si>
  <si>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</si>
  <si>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</si>
  <si>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</si>
  <si>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</si>
  <si>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</si>
  <si>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</si>
  <si>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</si>
  <si>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</si>
  <si>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</si>
  <si>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</si>
  <si>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</si>
  <si>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</si>
  <si>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</si>
  <si>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</si>
  <si>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</si>
  <si>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</si>
  <si>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</si>
  <si>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</si>
  <si>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</si>
  <si>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</si>
  <si>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</si>
  <si>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</si>
  <si>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</si>
  <si>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</si>
  <si>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</si>
  <si>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</si>
  <si>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</si>
  <si>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</si>
  <si>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</si>
  <si>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</si>
  <si>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</si>
  <si>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</si>
  <si>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</si>
  <si>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</si>
  <si>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</si>
  <si>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</si>
  <si>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</si>
  <si>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</si>
  <si>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</si>
  <si>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</si>
  <si>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</si>
  <si>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</si>
  <si>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</si>
  <si>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</si>
  <si>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</si>
  <si>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</si>
  <si>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</si>
  <si>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</si>
  <si>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</si>
  <si>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</si>
  <si>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</si>
  <si>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</si>
  <si>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</si>
  <si>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</si>
  <si>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</si>
  <si>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</si>
  <si>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</si>
  <si>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</si>
  <si>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</si>
  <si>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</si>
  <si>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</si>
  <si>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</si>
  <si>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</si>
  <si>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</si>
  <si>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</si>
  <si>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</si>
  <si>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</si>
  <si>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</si>
  <si>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</si>
  <si>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</si>
  <si>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</si>
  <si>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</si>
  <si>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</si>
  <si>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</si>
  <si>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</si>
  <si>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</si>
  <si>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</si>
  <si>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</si>
  <si>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</si>
  <si>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</si>
  <si>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</si>
  <si>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</si>
  <si>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</si>
  <si>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</si>
  <si>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</si>
  <si>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</si>
  <si>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</si>
  <si>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</si>
  <si>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</si>
  <si>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</si>
  <si>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</si>
  <si>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</si>
  <si>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</si>
  <si>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</si>
  <si>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</si>
  <si>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</si>
  <si>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</si>
  <si>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</si>
  <si>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</si>
  <si>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</si>
  <si>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</si>
  <si>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</si>
  <si>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</si>
  <si>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</si>
  <si>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</si>
  <si>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</si>
  <si>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</si>
  <si>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</si>
  <si>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</si>
  <si>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</si>
  <si>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</si>
  <si>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</si>
  <si>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</si>
  <si>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</si>
  <si>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</si>
  <si>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</si>
  <si>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</si>
  <si>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</si>
  <si>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</si>
  <si>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</si>
  <si>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</si>
  <si>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</si>
  <si>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</si>
  <si>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</si>
  <si>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</si>
  <si>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</si>
  <si>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</si>
  <si>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</si>
  <si>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</si>
  <si>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</si>
  <si>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</si>
  <si>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</si>
  <si>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</si>
  <si>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</si>
  <si>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</si>
  <si>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</si>
  <si>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</si>
  <si>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</si>
  <si>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</si>
  <si>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</si>
  <si>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</si>
  <si>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</si>
  <si>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</si>
  <si>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</si>
  <si>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</si>
  <si>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</si>
  <si>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</si>
  <si>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</si>
  <si>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</si>
  <si>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</si>
  <si>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</si>
  <si>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</si>
  <si>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</si>
  <si>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</si>
  <si>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</si>
  <si>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</si>
  <si>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</si>
  <si>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</si>
  <si>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</si>
  <si>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</si>
  <si>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</si>
  <si>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</si>
  <si>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</si>
  <si>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</si>
  <si>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</si>
  <si>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</si>
  <si>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</si>
  <si>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</si>
  <si>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</si>
  <si>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</si>
  <si>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</si>
  <si>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</si>
  <si>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</si>
  <si>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</si>
  <si>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</si>
  <si>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</si>
  <si>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</si>
  <si>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</si>
  <si>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</si>
  <si>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</si>
  <si>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</si>
  <si>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</si>
  <si>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</si>
  <si>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</si>
  <si>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</si>
  <si>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</si>
  <si>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</si>
  <si>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</si>
  <si>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</si>
  <si>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</si>
  <si>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</si>
  <si>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</si>
  <si>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</si>
  <si>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</si>
  <si>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</si>
  <si>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</si>
  <si>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</si>
  <si>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</si>
  <si>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</si>
  <si>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</si>
  <si>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</si>
  <si>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</si>
  <si>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</si>
  <si>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</si>
  <si>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</si>
  <si>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</si>
  <si>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</si>
  <si>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</si>
  <si>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</si>
  <si>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</si>
  <si>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</si>
  <si>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</si>
  <si>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</si>
  <si>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</si>
  <si>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</si>
  <si>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</si>
  <si>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</si>
  <si>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</si>
  <si>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</si>
  <si>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</si>
  <si>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</si>
  <si>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</si>
  <si>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</si>
  <si>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</si>
  <si>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</si>
  <si>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</si>
  <si>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</si>
  <si>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</si>
  <si>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</si>
  <si>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</si>
  <si>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</si>
  <si>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</si>
  <si>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</si>
  <si>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</si>
  <si>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</si>
  <si>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</si>
  <si>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</si>
  <si>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</si>
  <si>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</si>
  <si>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</si>
  <si>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</si>
  <si>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</si>
  <si>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</si>
  <si>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</si>
  <si>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</si>
  <si>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</si>
  <si>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</si>
  <si>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</si>
  <si>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</si>
  <si>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</si>
  <si>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</si>
  <si>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</si>
  <si>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</si>
  <si>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</si>
  <si>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</si>
  <si>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</si>
  <si>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</si>
  <si>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</si>
  <si>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</si>
  <si>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</si>
  <si>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</si>
  <si>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</si>
  <si>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</si>
  <si>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</si>
  <si>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</si>
  <si>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</si>
  <si>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</si>
  <si>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</si>
  <si>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</si>
  <si>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</si>
  <si>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</si>
  <si>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</si>
  <si>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</si>
  <si>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</si>
  <si>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</si>
  <si>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</si>
  <si>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</si>
  <si>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</si>
  <si>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</si>
  <si>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</si>
  <si>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</si>
  <si>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</si>
  <si>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</si>
  <si>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</si>
  <si>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</si>
  <si>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</si>
  <si>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</si>
  <si>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</si>
  <si>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</si>
  <si>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</si>
  <si>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</si>
  <si>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</si>
  <si>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</si>
  <si>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</si>
  <si>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</si>
  <si>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</si>
  <si>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</si>
  <si>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</si>
  <si>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</si>
  <si>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</si>
  <si>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</si>
  <si>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</si>
  <si>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</si>
  <si>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</si>
  <si>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</si>
  <si>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</si>
  <si>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</si>
  <si>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</si>
  <si>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</si>
  <si>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</si>
  <si>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</si>
  <si>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</si>
  <si>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</si>
  <si>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</si>
  <si>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</si>
  <si>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</si>
  <si>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</si>
  <si>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</si>
  <si>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</si>
  <si>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</si>
  <si>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</si>
  <si>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</si>
  <si>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</si>
  <si>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</si>
  <si>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</si>
  <si>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</si>
  <si>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</si>
  <si>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</si>
  <si>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</si>
  <si>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</si>
  <si>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</si>
  <si>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</si>
  <si>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</si>
  <si>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</si>
  <si>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</si>
  <si>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</si>
  <si>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</si>
  <si>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</si>
  <si>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</si>
  <si>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</si>
  <si>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</si>
  <si>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</si>
  <si>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</si>
  <si>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</si>
  <si>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</si>
  <si>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</si>
  <si>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</si>
  <si>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</si>
  <si>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</si>
  <si>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</si>
  <si>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</si>
  <si>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</si>
  <si>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</si>
  <si>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</si>
  <si>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</si>
  <si>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</si>
  <si>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</si>
  <si>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</si>
  <si>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</si>
  <si>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</si>
  <si>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</si>
  <si>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Century Affordable Development, Inc. </t>
  </si>
  <si>
    <t>Century + Restorative Care Village Phase II</t>
  </si>
  <si>
    <t>County of Los Angeles</t>
  </si>
  <si>
    <t>Lynn Katano</t>
  </si>
  <si>
    <t>700 W. Main Street</t>
  </si>
  <si>
    <t>Alhambra</t>
  </si>
  <si>
    <t>626-586-1806</t>
  </si>
  <si>
    <t>626-943-3815</t>
  </si>
  <si>
    <t>lynn.katano@lacda.org</t>
  </si>
  <si>
    <t>1325 N. Mission Road</t>
  </si>
  <si>
    <t>40%/60%</t>
  </si>
  <si>
    <t>1000 Corporate Pointe</t>
  </si>
  <si>
    <t xml:space="preserve">Culver City </t>
  </si>
  <si>
    <t>CA</t>
  </si>
  <si>
    <t>Oscar Alvarado</t>
  </si>
  <si>
    <t>(310) 642-2079</t>
  </si>
  <si>
    <t>oalvarado@century.org</t>
  </si>
  <si>
    <t>Century Affordable Development, Inc.</t>
  </si>
  <si>
    <t>Culver City</t>
  </si>
  <si>
    <t>Alex Stamas</t>
  </si>
  <si>
    <t>(310) 642-2048</t>
  </si>
  <si>
    <t>astamas@century.org</t>
  </si>
  <si>
    <t>Applicant Staff</t>
  </si>
  <si>
    <t>To-Be-Formed LLC with CADI as sole GP</t>
  </si>
  <si>
    <t>Managing GP</t>
  </si>
  <si>
    <t xml:space="preserve">1000 Corporate Pointe </t>
  </si>
  <si>
    <t>Culver City, CA 90230</t>
  </si>
  <si>
    <t>Practice (formerly GGA+)</t>
  </si>
  <si>
    <t>135 W. Green St. Suite 200</t>
  </si>
  <si>
    <t>Pasadena, CA 91105</t>
  </si>
  <si>
    <t>Ali Barar</t>
  </si>
  <si>
    <t>(626) 568-1428</t>
  </si>
  <si>
    <t>abarar@practicela.org</t>
  </si>
  <si>
    <t>Gubb and Barshay, LLP</t>
  </si>
  <si>
    <t>235 Montgomery Street Suite 1110</t>
  </si>
  <si>
    <t>San Francisco, CA 94104</t>
  </si>
  <si>
    <t>Nicole Kline</t>
  </si>
  <si>
    <t>(310) 482-0810</t>
  </si>
  <si>
    <t>nkline@gubbandbarshay.com</t>
  </si>
  <si>
    <t>To-Be-Determined</t>
  </si>
  <si>
    <t>Partner Energy</t>
  </si>
  <si>
    <t>100 W. Walnut St. #600</t>
  </si>
  <si>
    <t>Pasadena, CA 91124</t>
  </si>
  <si>
    <t>Cody Bathke</t>
  </si>
  <si>
    <t>cbathke@ptrenergy.com</t>
  </si>
  <si>
    <t>310-765-7255</t>
  </si>
  <si>
    <t>Novogradac and Company, LLP</t>
  </si>
  <si>
    <t>2033 N. Main St. Suite 400</t>
  </si>
  <si>
    <t>Walnut Creek, CA 94596</t>
  </si>
  <si>
    <t>Kim Cabugao</t>
  </si>
  <si>
    <t>(925) 949-4218</t>
  </si>
  <si>
    <t>kim.cabugao@novoco.com</t>
  </si>
  <si>
    <t>California Housing Partnership Corporation</t>
  </si>
  <si>
    <t>49 Stevenson Street, Ste #500</t>
  </si>
  <si>
    <t>San Francisco, CA 94105</t>
  </si>
  <si>
    <t>Zorica Stancevic</t>
  </si>
  <si>
    <t xml:space="preserve">(415) 433-6804 </t>
  </si>
  <si>
    <t>zstancevic@chpc.net</t>
  </si>
  <si>
    <t>Not Applicable</t>
  </si>
  <si>
    <t>Century Villages Property Management, LLC</t>
  </si>
  <si>
    <t>2001 River Avenue</t>
  </si>
  <si>
    <t>Long Beach, CA 90810</t>
  </si>
  <si>
    <t>Inner City Infill Site</t>
  </si>
  <si>
    <t>County-owned Land</t>
  </si>
  <si>
    <t>Public Facilities (PF), unlimited</t>
  </si>
  <si>
    <t>Use of Sovereign Immunity for Project-requested density (see Tab 12 for more info)</t>
  </si>
  <si>
    <t>LACDA - NPLH</t>
  </si>
  <si>
    <t>LACDA - NPLH Loan</t>
  </si>
  <si>
    <t>333 S. Grand Avenue, 9th Floor</t>
  </si>
  <si>
    <t>Christian von Merkatz</t>
  </si>
  <si>
    <t>213-358-7478</t>
  </si>
  <si>
    <t>Tax-Exempt Construction Loan</t>
  </si>
  <si>
    <t>700 West Main Street</t>
  </si>
  <si>
    <t>Air Conditioning</t>
  </si>
  <si>
    <t>Market Insights Consulting, LLC</t>
  </si>
  <si>
    <t>30021 Tomas Street, Suite 300</t>
  </si>
  <si>
    <t>Rancho Santa Margarita, CA 92688</t>
  </si>
  <si>
    <t>Buck Panchal</t>
  </si>
  <si>
    <t>(949)709-1938</t>
  </si>
  <si>
    <t>(949)713-7399</t>
  </si>
  <si>
    <t>panchal@marketinsights.info</t>
  </si>
  <si>
    <t>Heather Sharp</t>
  </si>
  <si>
    <t>(310) 642-2094</t>
  </si>
  <si>
    <t>hsharp@century.org</t>
  </si>
  <si>
    <t>Los Angeles County Development Authority</t>
  </si>
  <si>
    <t>Alhambra, CA 91801</t>
  </si>
  <si>
    <t>Matthew Lust</t>
  </si>
  <si>
    <t>(626)586-1809</t>
  </si>
  <si>
    <t>matthew.lust@lacda.org</t>
  </si>
  <si>
    <t>Secured by Leasehold Interest</t>
  </si>
  <si>
    <t xml:space="preserve">The Projet will include approximately 5,000 square feet of commercial space (including a demonstration kitchen, café and retail). </t>
  </si>
  <si>
    <t>Please note that 50% of units with mobility features for seniors and</t>
  </si>
  <si>
    <t>LACDA No Place Like Home (NPLH)</t>
  </si>
  <si>
    <t>100% DD</t>
  </si>
  <si>
    <t>LACDA Affordable Housing Trust Fund (AHTF)-Second Tranche NOFA 31</t>
  </si>
  <si>
    <t>CADI: Deferred Developer Fee</t>
  </si>
  <si>
    <t>LP Equity Contribution</t>
  </si>
  <si>
    <t>Soft Financing</t>
  </si>
  <si>
    <t>310-642-2079</t>
  </si>
  <si>
    <t>TBD</t>
  </si>
  <si>
    <t>Equity</t>
  </si>
  <si>
    <t>Los Angeles County Development Authority (7/1/24)</t>
  </si>
  <si>
    <t>LACDA AHTF (Tranche A + B)</t>
  </si>
  <si>
    <t>LACDA PBV</t>
  </si>
  <si>
    <t>Project-based vouchers (PBVs)</t>
  </si>
  <si>
    <t>LACDA PBV, LACDA AHTF &amp; NPLH</t>
  </si>
  <si>
    <t xml:space="preserve">Chapter 11B. All low income units are set aside for seniors. </t>
  </si>
  <si>
    <t xml:space="preserve">10% of units with communications features pursuant to CBC </t>
  </si>
  <si>
    <t>Variable</t>
  </si>
  <si>
    <t>LACDA - Accrued Interest</t>
  </si>
  <si>
    <t xml:space="preserve">Wells Fargo (Tax Exempt Construction Loan) </t>
  </si>
  <si>
    <t>Citibank Community Capital (Permanent Loan)</t>
  </si>
  <si>
    <t>300 South Grand Avenue, Ste 3110</t>
  </si>
  <si>
    <t>Hao Li</t>
  </si>
  <si>
    <t>(213) 239-1914</t>
  </si>
  <si>
    <t>Permanent Loan</t>
  </si>
  <si>
    <t>Other (Bond Issuer and Trustee Fees):</t>
  </si>
  <si>
    <t>CADI: Costs Deferred until Conversion</t>
  </si>
  <si>
    <t>Costs Deferred Until Conversion</t>
  </si>
  <si>
    <t>Misc. Admin</t>
  </si>
  <si>
    <t>Payroll Taxes/Benefits</t>
  </si>
  <si>
    <t>Contracted Services</t>
  </si>
  <si>
    <t>Other: Security During Construction</t>
  </si>
  <si>
    <t>Other: Special Inspections/Testing</t>
  </si>
  <si>
    <t>Other: HCD Pooled Reserve</t>
  </si>
  <si>
    <t>Los Angeles County Development  Authority: NPLH, AHTF, PBV</t>
  </si>
  <si>
    <t>1 bedroom</t>
  </si>
  <si>
    <t>Fixed</t>
  </si>
  <si>
    <t>Other: GP/Sponsor Counsel</t>
  </si>
  <si>
    <t>Other: Lender Expenses</t>
  </si>
  <si>
    <t>5210-015-902, 5210-015-904, 5210-015-905</t>
  </si>
  <si>
    <t>Provided</t>
  </si>
  <si>
    <t>LACDA Affordable Housing Trust Fund (AHTF)-First Tranche NOFA 30</t>
  </si>
  <si>
    <t>LACDA - AHTF (1st &amp; 2nd Tranche)</t>
  </si>
  <si>
    <t xml:space="preserve">LACDA - AHTF (1st &amp; 2nd Tranche) </t>
  </si>
  <si>
    <t>LACDA- AHTF (1st &amp; 2nd Tranched)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</si>
</sst>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0"/>
      <color rgb="FF000000"/>
      <name val="Arial"/>
      <family val="2"/>
    </font>
    <font>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17177">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09"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0"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19" fillId="0" borderId="0" applyFont="0" applyFill="0" applyBorder="0" applyAlignment="0" applyProtection="0"/>
    <xf numFmtId="0" fontId="119"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7"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49"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5">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5"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8"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6"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7"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19"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19"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19"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19"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5"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19"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19" fillId="0" borderId="8" xfId="4495" applyBorder="1"/>
    <xf numFmtId="0" fontId="24" fillId="0" borderId="8" xfId="4495" applyFont="1" applyBorder="1" applyAlignment="1">
      <alignment vertical="top"/>
    </xf>
    <xf numFmtId="0" fontId="119" fillId="0" borderId="0" xfId="4495" applyAlignment="1">
      <alignment vertical="top"/>
    </xf>
    <xf numFmtId="0" fontId="24"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19" fillId="0" borderId="12" xfId="4495" applyBorder="1"/>
    <xf numFmtId="0" fontId="25" fillId="0" borderId="9" xfId="4495" applyFont="1" applyBorder="1"/>
    <xf numFmtId="0" fontId="119" fillId="0" borderId="10" xfId="4495" applyBorder="1"/>
    <xf numFmtId="0" fontId="33" fillId="0" borderId="3" xfId="4495" applyFont="1" applyBorder="1"/>
    <xf numFmtId="0" fontId="24" fillId="0" borderId="4" xfId="4495" applyFont="1" applyBorder="1"/>
    <xf numFmtId="0" fontId="119" fillId="0" borderId="12" xfId="4495" applyBorder="1" applyAlignment="1">
      <alignment vertical="top"/>
    </xf>
    <xf numFmtId="0" fontId="33"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3" fillId="0" borderId="9" xfId="4495" applyFont="1" applyBorder="1"/>
    <xf numFmtId="0" fontId="25" fillId="0" borderId="10" xfId="4495" applyFont="1" applyBorder="1"/>
    <xf numFmtId="0" fontId="129"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19"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19" fillId="0" borderId="61" xfId="4495" applyBorder="1"/>
    <xf numFmtId="0" fontId="119"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19"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19"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19"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6"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1"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5"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5"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7"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1" fillId="0" borderId="0" xfId="4495" applyFont="1"/>
    <xf numFmtId="10" fontId="121"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19"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8"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39"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6"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7"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6"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1"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2" fillId="0" borderId="0" xfId="0" applyFont="1"/>
    <xf numFmtId="0" fontId="22"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7"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2"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4"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3" fillId="47" borderId="0" xfId="8734" applyNumberFormat="1" applyFont="1" applyFill="1" applyBorder="1" applyAlignment="1"/>
    <xf numFmtId="0" fontId="2" fillId="47" borderId="41" xfId="8733" applyFill="1" applyBorder="1"/>
    <xf numFmtId="0" fontId="103" fillId="47" borderId="0" xfId="8733" applyFont="1" applyFill="1"/>
    <xf numFmtId="0" fontId="177"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2"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79" fillId="47" borderId="0" xfId="8733" applyFont="1" applyFill="1"/>
    <xf numFmtId="0" fontId="102" fillId="45" borderId="31" xfId="8733" applyFont="1" applyFill="1" applyBorder="1"/>
    <xf numFmtId="0" fontId="2"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66" fontId="26" fillId="5" borderId="4" xfId="0" applyNumberFormat="1"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17" fillId="5" borderId="3"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2" fontId="26" fillId="0" borderId="0" xfId="0" applyNumberFormat="1" applyFont="1" applyAlignment="1">
      <alignment horizontal="center"/>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4"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2"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0" fillId="0" borderId="0" xfId="0" applyAlignment="1">
      <alignment horizontal="center"/>
    </xf>
    <xf numFmtId="0" fontId="17" fillId="0" borderId="0" xfId="543" applyAlignment="1">
      <alignment wrapText="1"/>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7" fillId="5" borderId="4" xfId="0" applyNumberFormat="1" applyFont="1" applyFill="1" applyBorder="1" applyAlignment="1" applyProtection="1">
      <alignment horizontal="left"/>
      <protection locked="0"/>
    </xf>
    <xf numFmtId="166" fontId="26" fillId="5" borderId="4" xfId="0" applyNumberFormat="1" applyFont="1" applyFill="1" applyBorder="1" applyAlignment="1" applyProtection="1">
      <alignment horizontal="left"/>
      <protection locked="0"/>
    </xf>
    <xf numFmtId="0" fontId="26" fillId="5" borderId="4" xfId="0" applyFont="1" applyFill="1" applyBorder="1" applyAlignment="1" applyProtection="1">
      <alignment wrapText="1"/>
      <protection locked="0"/>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0" fontId="0" fillId="5" borderId="4" xfId="0" applyFill="1" applyBorder="1" applyAlignment="1" applyProtection="1">
      <alignment horizontal="left"/>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6" xfId="0" applyBorder="1" applyAlignment="1">
      <alignment horizontal="left"/>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24" fillId="0" borderId="9" xfId="0" applyFont="1" applyBorder="1" applyAlignment="1">
      <alignment horizontal="center"/>
    </xf>
    <xf numFmtId="0" fontId="24" fillId="0" borderId="6" xfId="0" applyFont="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0" fontId="17" fillId="5" borderId="4" xfId="0"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0" fontId="17"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17" fillId="0" borderId="11" xfId="0" applyFont="1" applyBorder="1" applyAlignment="1">
      <alignment horizontal="center"/>
    </xf>
    <xf numFmtId="0" fontId="26" fillId="45" borderId="11" xfId="0" applyFont="1" applyFill="1" applyBorder="1" applyAlignment="1">
      <alignment horizontal="center"/>
    </xf>
    <xf numFmtId="0" fontId="26" fillId="2" borderId="11" xfId="0" applyFont="1" applyFill="1" applyBorder="1" applyAlignment="1">
      <alignment horizontal="center"/>
    </xf>
    <xf numFmtId="0" fontId="26" fillId="0" borderId="3" xfId="0" applyFont="1" applyBorder="1" applyAlignment="1">
      <alignment horizontal="center"/>
    </xf>
    <xf numFmtId="0" fontId="26" fillId="0" borderId="5" xfId="0" applyFont="1"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0" fontId="26"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0" fillId="0" borderId="9" xfId="0" applyBorder="1" applyAlignment="1">
      <alignment horizontal="left"/>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17" fillId="0" borderId="11" xfId="543" applyNumberFormat="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1" fontId="26" fillId="5" borderId="11" xfId="0" applyNumberFormat="1" applyFont="1" applyFill="1" applyBorder="1" applyAlignment="1" applyProtection="1">
      <alignment horizontal="center"/>
      <protection locked="0"/>
    </xf>
    <xf numFmtId="0" fontId="24"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7" fillId="5" borderId="11" xfId="0" applyFont="1" applyFill="1" applyBorder="1" applyAlignment="1" applyProtection="1">
      <alignment horizontal="left" wrapText="1"/>
      <protection locked="0"/>
    </xf>
    <xf numFmtId="0" fontId="26" fillId="0" borderId="11" xfId="0" applyFont="1" applyBorder="1" applyAlignment="1">
      <alignment horizontal="center" vertical="top" wrapText="1"/>
    </xf>
    <xf numFmtId="0" fontId="24" fillId="0" borderId="0" xfId="0" applyFont="1" applyAlignment="1">
      <alignment horizontal="center" vertic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7" fillId="43" borderId="11" xfId="0"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9" fontId="17" fillId="5" borderId="3" xfId="0" applyNumberFormat="1" applyFon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168" fontId="0" fillId="5" borderId="11" xfId="0" applyNumberFormat="1" applyFill="1" applyBorder="1" applyAlignment="1" applyProtection="1">
      <alignment horizontal="center"/>
      <protection locked="0"/>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0" fillId="5" borderId="11" xfId="0" applyNumberFormat="1" applyFill="1" applyBorder="1" applyProtection="1">
      <protection locked="0"/>
    </xf>
    <xf numFmtId="0" fontId="26" fillId="0" borderId="3" xfId="0" applyFont="1" applyBorder="1" applyAlignment="1">
      <alignment horizontal="left"/>
    </xf>
    <xf numFmtId="0" fontId="17" fillId="0" borderId="3" xfId="0" applyFont="1" applyBorder="1"/>
    <xf numFmtId="0" fontId="17" fillId="0" borderId="4" xfId="0" applyFont="1" applyBorder="1"/>
    <xf numFmtId="0" fontId="17" fillId="0" borderId="5" xfId="0" applyFont="1" applyBorder="1"/>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17" fillId="5" borderId="11" xfId="0" applyFont="1" applyFill="1" applyBorder="1" applyAlignment="1" applyProtection="1">
      <alignment horizontal="left" vertical="center" wrapText="1"/>
      <protection locked="0"/>
    </xf>
    <xf numFmtId="0" fontId="17"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0" fontId="17" fillId="5" borderId="4" xfId="0" applyFont="1" applyFill="1" applyBorder="1" applyAlignment="1" applyProtection="1">
      <alignmen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7"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0" fontId="24" fillId="0" borderId="7" xfId="0" applyFont="1" applyBorder="1" applyAlignment="1">
      <alignment horizontal="center" wrapText="1"/>
    </xf>
    <xf numFmtId="168" fontId="0" fillId="0" borderId="11" xfId="0" applyNumberFormat="1" applyBorder="1"/>
    <xf numFmtId="0" fontId="26"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71" fontId="17" fillId="0" borderId="0" xfId="543" applyNumberFormat="1" applyAlignment="1">
      <alignment horizontal="right"/>
    </xf>
    <xf numFmtId="9" fontId="17" fillId="0" borderId="0" xfId="543" applyNumberFormat="1" applyAlignment="1">
      <alignment horizontal="center" vertic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0" fontId="24"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17" fillId="0" borderId="3" xfId="0" applyFont="1" applyBorder="1" applyAlignment="1">
      <alignment horizontal="left"/>
    </xf>
    <xf numFmtId="0" fontId="0" fillId="0" borderId="5" xfId="0" applyBorder="1" applyAlignment="1">
      <alignment horizontal="left"/>
    </xf>
    <xf numFmtId="3" fontId="26" fillId="5" borderId="11" xfId="0" applyNumberFormat="1" applyFont="1" applyFill="1" applyBorder="1" applyAlignment="1" applyProtection="1">
      <alignment horizontal="center"/>
      <protection locked="0"/>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4" fillId="0" borderId="10" xfId="0" applyFont="1" applyBorder="1" applyAlignment="1">
      <alignment horizontal="center"/>
    </xf>
    <xf numFmtId="0" fontId="0" fillId="43" borderId="10" xfId="0" applyFill="1" applyBorder="1" applyAlignment="1" applyProtection="1">
      <alignment horizontal="left"/>
      <protection locked="0"/>
    </xf>
    <xf numFmtId="0" fontId="24" fillId="0" borderId="3" xfId="0" applyFont="1" applyBorder="1" applyAlignment="1">
      <alignment horizontal="center"/>
    </xf>
    <xf numFmtId="0" fontId="24" fillId="0" borderId="4" xfId="0" applyFont="1" applyBorder="1" applyAlignment="1">
      <alignment horizontal="center"/>
    </xf>
    <xf numFmtId="10" fontId="26" fillId="0" borderId="11" xfId="0" applyNumberFormat="1" applyFont="1" applyBorder="1" applyAlignment="1">
      <alignment horizontal="center"/>
    </xf>
    <xf numFmtId="0" fontId="17" fillId="0" borderId="4" xfId="0" applyFont="1" applyBorder="1" applyAlignment="1">
      <alignment horizontal="left"/>
    </xf>
    <xf numFmtId="0" fontId="17" fillId="0" borderId="5" xfId="0" applyFont="1" applyBorder="1" applyAlignment="1">
      <alignment horizontal="left"/>
    </xf>
    <xf numFmtId="0" fontId="0" fillId="0" borderId="6" xfId="0" applyBorder="1" applyAlignment="1">
      <alignment horizontal="center"/>
    </xf>
    <xf numFmtId="0" fontId="0" fillId="0" borderId="10" xfId="0"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0" fontId="17" fillId="5" borderId="1" xfId="0" applyFont="1"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12" xfId="0" applyBorder="1" applyAlignment="1">
      <alignment horizontal="center"/>
    </xf>
    <xf numFmtId="168" fontId="17" fillId="0" borderId="3" xfId="0" applyNumberFormat="1" applyFont="1" applyBorder="1" applyAlignment="1">
      <alignment horizontal="left" vertical="top"/>
    </xf>
    <xf numFmtId="168" fontId="26" fillId="0" borderId="11" xfId="0" applyNumberFormat="1" applyFont="1" applyBorder="1" applyAlignment="1">
      <alignment horizontal="center"/>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17" fillId="5" borderId="0" xfId="0" applyFont="1" applyFill="1" applyAlignment="1" applyProtection="1">
      <alignment horizontal="left" vertical="top" wrapText="1"/>
      <protection locked="0"/>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2" fontId="0" fillId="5" borderId="6" xfId="0" applyNumberFormat="1" applyFill="1" applyBorder="1" applyAlignment="1" applyProtection="1">
      <alignment horizontal="center"/>
      <protection locked="0"/>
    </xf>
    <xf numFmtId="1" fontId="17"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14" fontId="17" fillId="5" borderId="4" xfId="0" applyNumberFormat="1" applyFont="1" applyFill="1" applyBorder="1" applyAlignment="1" applyProtection="1">
      <alignment horizontal="right"/>
      <protection locked="0"/>
    </xf>
    <xf numFmtId="14" fontId="26" fillId="5" borderId="4" xfId="0" applyNumberFormat="1" applyFont="1" applyFill="1" applyBorder="1" applyAlignment="1" applyProtection="1">
      <alignment horizontal="right"/>
      <protection locked="0"/>
    </xf>
    <xf numFmtId="2" fontId="0" fillId="0" borderId="6" xfId="0" applyNumberFormat="1" applyBorder="1" applyAlignment="1">
      <alignment horizontal="center"/>
    </xf>
    <xf numFmtId="0" fontId="26" fillId="5" borderId="11" xfId="0" applyFont="1" applyFill="1" applyBorder="1" applyAlignment="1" applyProtection="1">
      <alignment horizontal="center"/>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166" fontId="17" fillId="5" borderId="6" xfId="0" applyNumberFormat="1" applyFont="1" applyFill="1" applyBorder="1" applyAlignment="1" applyProtection="1">
      <alignment horizontal="left"/>
      <protection locked="0"/>
    </xf>
    <xf numFmtId="0" fontId="0" fillId="43" borderId="6" xfId="0" applyFill="1" applyBorder="1" applyAlignment="1" applyProtection="1">
      <alignment horizontal="center"/>
      <protection locked="0"/>
    </xf>
    <xf numFmtId="0" fontId="17" fillId="5" borderId="6" xfId="0" applyFon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17" fillId="5" borderId="4" xfId="0"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0" borderId="0" xfId="0" applyFont="1" applyAlignment="1" applyProtection="1">
      <alignment horizontal="left"/>
      <protection locked="0"/>
    </xf>
    <xf numFmtId="0" fontId="25"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17" fillId="5" borderId="0" xfId="244" applyFont="1" applyFill="1" applyBorder="1" applyAlignment="1" applyProtection="1">
      <alignment horizontal="left"/>
      <protection locked="0"/>
    </xf>
    <xf numFmtId="166" fontId="17" fillId="5" borderId="6" xfId="271" applyNumberFormat="1" applyFont="1" applyFill="1" applyBorder="1" applyAlignment="1" applyProtection="1">
      <alignment horizontal="left"/>
      <protection locked="0"/>
    </xf>
    <xf numFmtId="0" fontId="26" fillId="0" borderId="6" xfId="0" applyFont="1" applyBorder="1" applyAlignment="1">
      <alignment horizontal="left"/>
    </xf>
    <xf numFmtId="0" fontId="0" fillId="5" borderId="0" xfId="0" applyFill="1" applyAlignment="1" applyProtection="1">
      <alignment horizontal="left" vertical="top" wrapText="1"/>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168" fontId="26" fillId="5" borderId="6" xfId="0" applyNumberFormat="1" applyFon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36" fillId="5" borderId="6" xfId="0" applyFont="1" applyFill="1" applyBorder="1" applyAlignment="1" applyProtection="1">
      <alignment horizontal="left"/>
      <protection locked="0"/>
    </xf>
    <xf numFmtId="0" fontId="17" fillId="43" borderId="4" xfId="0" applyFont="1" applyFill="1" applyBorder="1" applyAlignment="1" applyProtection="1">
      <alignment horizontal="left" wrapText="1"/>
      <protection locked="0"/>
    </xf>
    <xf numFmtId="10" fontId="17" fillId="5" borderId="4" xfId="0" applyNumberFormat="1" applyFont="1" applyFill="1" applyBorder="1" applyAlignment="1" applyProtection="1">
      <alignment horizontal="right"/>
      <protection locked="0"/>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0" fillId="43" borderId="6" xfId="0" applyNumberFormat="1" applyFill="1" applyBorder="1" applyAlignment="1" applyProtection="1">
      <alignment horizontal="right"/>
      <protection locked="0"/>
    </xf>
    <xf numFmtId="178" fontId="17" fillId="5" borderId="4" xfId="0" applyNumberFormat="1" applyFon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0" fillId="5" borderId="114" xfId="0" applyFill="1" applyBorder="1" applyAlignment="1" applyProtection="1">
      <alignment horizontal="left"/>
      <protection locked="0"/>
    </xf>
    <xf numFmtId="3" fontId="26" fillId="0" borderId="11" xfId="0" applyNumberFormat="1" applyFont="1" applyBorder="1" applyAlignment="1">
      <alignment horizontal="center"/>
    </xf>
    <xf numFmtId="1" fontId="26" fillId="5" borderId="11" xfId="0" quotePrefix="1" applyNumberFormat="1" applyFont="1" applyFill="1" applyBorder="1" applyAlignment="1" applyProtection="1">
      <alignment horizontal="center"/>
      <protection locked="0"/>
    </xf>
    <xf numFmtId="0" fontId="0" fillId="0" borderId="6" xfId="0" applyBorder="1" applyAlignment="1" applyProtection="1">
      <alignment horizontal="center"/>
      <protection locked="0"/>
    </xf>
    <xf numFmtId="0" fontId="17" fillId="5" borderId="4" xfId="0" applyFont="1" applyFill="1" applyBorder="1" applyAlignment="1" applyProtection="1">
      <alignment horizontal="center"/>
      <protection locked="0"/>
    </xf>
    <xf numFmtId="165" fontId="17"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24" fillId="0" borderId="5" xfId="0" applyFont="1" applyBorder="1" applyAlignment="1">
      <alignment horizontal="center"/>
    </xf>
    <xf numFmtId="0" fontId="26" fillId="5" borderId="4" xfId="0"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 fontId="26" fillId="5" borderId="6" xfId="0" applyNumberFormat="1" applyFont="1" applyFill="1" applyBorder="1" applyAlignment="1" applyProtection="1">
      <alignment horizontal="right"/>
      <protection locked="0"/>
    </xf>
    <xf numFmtId="172" fontId="0" fillId="5" borderId="6"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17"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2" fillId="48" borderId="80" xfId="8733"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3"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6"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19" fillId="5" borderId="6" xfId="4495" applyFill="1" applyBorder="1" applyAlignment="1" applyProtection="1">
      <alignment horizontal="center"/>
      <protection locked="0"/>
    </xf>
    <xf numFmtId="0" fontId="24" fillId="0" borderId="0" xfId="4495" applyFont="1" applyAlignment="1">
      <alignment horizontal="left" vertical="top"/>
    </xf>
    <xf numFmtId="0" fontId="119"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7"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29"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7"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5"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17177">
    <cellStyle name="20% - Accent1" xfId="1" builtinId="30" customBuiltin="1"/>
    <cellStyle name="20% - Accent1 10" xfId="4504" xr:uid="{00000000-0005-0000-0000-000001000000}"/>
    <cellStyle name="20% - Accent1 10 2" xfId="12954" xr:uid="{ADB1F812-F939-4DD5-829E-39166A732B60}"/>
    <cellStyle name="20% - Accent1 11" xfId="8736" xr:uid="{17C2EA25-AA07-44D3-B4E2-426702C12AAE}"/>
    <cellStyle name="20% - Accent1 2" xfId="2" xr:uid="{00000000-0005-0000-0000-000002000000}"/>
    <cellStyle name="20% - Accent1 2 10" xfId="8737" xr:uid="{FD5E89D9-14A0-4544-98E3-50CFD2E81C0F}"/>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2 2 2" xfId="15516" xr:uid="{2021E821-F616-4070-909F-5BB415120AFD}"/>
    <cellStyle name="20% - Accent1 2 2 2 2 2 3" xfId="11298" xr:uid="{34EEABE1-4339-4BA9-8529-2F58CEFBA2C2}"/>
    <cellStyle name="20% - Accent1 2 2 2 2 3" xfId="4921" xr:uid="{00000000-0005-0000-0000-000008000000}"/>
    <cellStyle name="20% - Accent1 2 2 2 2 3 2" xfId="13371" xr:uid="{40BB0F38-EB65-4648-8396-937E3C6C553A}"/>
    <cellStyle name="20% - Accent1 2 2 2 2 4" xfId="9153" xr:uid="{AC4BF3D3-9672-4846-96F3-969226F13545}"/>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2 2 2" xfId="15929" xr:uid="{26FF800A-BAA7-497C-85ED-2614F1700ABA}"/>
    <cellStyle name="20% - Accent1 2 2 2 3 2 3" xfId="11711" xr:uid="{8AF63521-FB97-4C0B-9090-94BDB88E8843}"/>
    <cellStyle name="20% - Accent1 2 2 2 3 3" xfId="5334" xr:uid="{00000000-0005-0000-0000-00000C000000}"/>
    <cellStyle name="20% - Accent1 2 2 2 3 3 2" xfId="13784" xr:uid="{190FFC8B-167A-4314-B538-FB778CFE4D6B}"/>
    <cellStyle name="20% - Accent1 2 2 2 3 4" xfId="9566" xr:uid="{05565096-2FE8-419D-866B-AACC5285B903}"/>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2 2 2" xfId="16342" xr:uid="{6D664D99-F1E0-45B7-BF4C-25116D11FA43}"/>
    <cellStyle name="20% - Accent1 2 2 2 4 2 3" xfId="12124" xr:uid="{6F2E03F3-B644-474E-AE48-0AC55BD3EF51}"/>
    <cellStyle name="20% - Accent1 2 2 2 4 3" xfId="5747" xr:uid="{00000000-0005-0000-0000-000010000000}"/>
    <cellStyle name="20% - Accent1 2 2 2 4 3 2" xfId="14197" xr:uid="{5ABD2792-F3D3-4B46-BB9B-9A92DFF958CA}"/>
    <cellStyle name="20% - Accent1 2 2 2 4 4" xfId="9979" xr:uid="{813E9640-C5D1-447E-B121-7D671298467C}"/>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2 2 2" xfId="16755" xr:uid="{82DDE2F2-2444-4854-A752-AF862E094176}"/>
    <cellStyle name="20% - Accent1 2 2 2 5 2 3" xfId="12537" xr:uid="{95674EC1-9713-48DF-A026-1FEE110147F8}"/>
    <cellStyle name="20% - Accent1 2 2 2 5 3" xfId="6160" xr:uid="{00000000-0005-0000-0000-000014000000}"/>
    <cellStyle name="20% - Accent1 2 2 2 5 3 2" xfId="14610" xr:uid="{B8212055-71A3-4A39-8595-859BD801BAE1}"/>
    <cellStyle name="20% - Accent1 2 2 2 5 4" xfId="10392" xr:uid="{23F627BA-C02B-4D4C-8C85-555A4D24A201}"/>
    <cellStyle name="20% - Accent1 2 2 2 6" xfId="2267" xr:uid="{00000000-0005-0000-0000-000015000000}"/>
    <cellStyle name="20% - Accent1 2 2 2 6 2" xfId="6573" xr:uid="{00000000-0005-0000-0000-000016000000}"/>
    <cellStyle name="20% - Accent1 2 2 2 6 2 2" xfId="15023" xr:uid="{9C11D139-7BB4-4047-9EBD-97B5DFE4DEC6}"/>
    <cellStyle name="20% - Accent1 2 2 2 6 3" xfId="10805" xr:uid="{4D498A4C-A23F-42F7-8918-45E24E73B942}"/>
    <cellStyle name="20% - Accent1 2 2 2 7" xfId="4507" xr:uid="{00000000-0005-0000-0000-000017000000}"/>
    <cellStyle name="20% - Accent1 2 2 2 7 2" xfId="12957" xr:uid="{53E6C43E-91E4-4AB5-AD8B-4A1F562725AD}"/>
    <cellStyle name="20% - Accent1 2 2 2 8" xfId="8739" xr:uid="{D9EB2BCF-F4C8-4CE3-8A02-831A53216992}"/>
    <cellStyle name="20% - Accent1 2 2 3" xfId="572" xr:uid="{00000000-0005-0000-0000-000018000000}"/>
    <cellStyle name="20% - Accent1 2 2 3 2" xfId="2843" xr:uid="{00000000-0005-0000-0000-000019000000}"/>
    <cellStyle name="20% - Accent1 2 2 3 2 2" xfId="7065" xr:uid="{00000000-0005-0000-0000-00001A000000}"/>
    <cellStyle name="20% - Accent1 2 2 3 2 2 2" xfId="15515" xr:uid="{FAF330D5-D5F7-4256-AF76-7D218C398D5C}"/>
    <cellStyle name="20% - Accent1 2 2 3 2 3" xfId="11297" xr:uid="{1AAA1CD1-386C-4CBD-9D9C-AA320400F771}"/>
    <cellStyle name="20% - Accent1 2 2 3 3" xfId="4920" xr:uid="{00000000-0005-0000-0000-00001B000000}"/>
    <cellStyle name="20% - Accent1 2 2 3 3 2" xfId="13370" xr:uid="{CDAA81A0-E2B2-40E2-B051-381E3D9D8A24}"/>
    <cellStyle name="20% - Accent1 2 2 3 4" xfId="9152" xr:uid="{4E49B529-C35A-4868-AF55-17AE96CCA233}"/>
    <cellStyle name="20% - Accent1 2 2 4" xfId="1025" xr:uid="{00000000-0005-0000-0000-00001C000000}"/>
    <cellStyle name="20% - Accent1 2 2 4 2" xfId="3256" xr:uid="{00000000-0005-0000-0000-00001D000000}"/>
    <cellStyle name="20% - Accent1 2 2 4 2 2" xfId="7478" xr:uid="{00000000-0005-0000-0000-00001E000000}"/>
    <cellStyle name="20% - Accent1 2 2 4 2 2 2" xfId="15928" xr:uid="{417E5DEC-1886-4E36-9C55-18CE9EB10120}"/>
    <cellStyle name="20% - Accent1 2 2 4 2 3" xfId="11710" xr:uid="{1344DE87-B792-463B-AD5E-B8F5A355EE51}"/>
    <cellStyle name="20% - Accent1 2 2 4 3" xfId="5333" xr:uid="{00000000-0005-0000-0000-00001F000000}"/>
    <cellStyle name="20% - Accent1 2 2 4 3 2" xfId="13783" xr:uid="{FC408E45-DE65-4FD2-979F-90AE15D9D857}"/>
    <cellStyle name="20% - Accent1 2 2 4 4" xfId="9565" xr:uid="{50E9AB6E-474A-4D5F-855D-62BD1E64D967}"/>
    <cellStyle name="20% - Accent1 2 2 5" xfId="1439" xr:uid="{00000000-0005-0000-0000-000020000000}"/>
    <cellStyle name="20% - Accent1 2 2 5 2" xfId="3669" xr:uid="{00000000-0005-0000-0000-000021000000}"/>
    <cellStyle name="20% - Accent1 2 2 5 2 2" xfId="7891" xr:uid="{00000000-0005-0000-0000-000022000000}"/>
    <cellStyle name="20% - Accent1 2 2 5 2 2 2" xfId="16341" xr:uid="{1F694232-CB7F-46A3-B341-C5E043186E6A}"/>
    <cellStyle name="20% - Accent1 2 2 5 2 3" xfId="12123" xr:uid="{E29442F3-B1B6-4B21-9B26-48FA0BE5481C}"/>
    <cellStyle name="20% - Accent1 2 2 5 3" xfId="5746" xr:uid="{00000000-0005-0000-0000-000023000000}"/>
    <cellStyle name="20% - Accent1 2 2 5 3 2" xfId="14196" xr:uid="{270C2853-6E7A-4865-949C-85DCFBB16912}"/>
    <cellStyle name="20% - Accent1 2 2 5 4" xfId="9978" xr:uid="{0F6ECC65-1CFB-4B47-AF5F-2B2F4D7BA7C0}"/>
    <cellStyle name="20% - Accent1 2 2 6" xfId="1853" xr:uid="{00000000-0005-0000-0000-000024000000}"/>
    <cellStyle name="20% - Accent1 2 2 6 2" xfId="4082" xr:uid="{00000000-0005-0000-0000-000025000000}"/>
    <cellStyle name="20% - Accent1 2 2 6 2 2" xfId="8304" xr:uid="{00000000-0005-0000-0000-000026000000}"/>
    <cellStyle name="20% - Accent1 2 2 6 2 2 2" xfId="16754" xr:uid="{9DFCF6F3-0BB7-41EB-8EE5-021492707AFB}"/>
    <cellStyle name="20% - Accent1 2 2 6 2 3" xfId="12536" xr:uid="{7D76C999-4ABB-42D1-B729-4BE6D0462EDC}"/>
    <cellStyle name="20% - Accent1 2 2 6 3" xfId="6159" xr:uid="{00000000-0005-0000-0000-000027000000}"/>
    <cellStyle name="20% - Accent1 2 2 6 3 2" xfId="14609" xr:uid="{E6A0A57D-D9CC-4D60-B35B-972A02D22DBB}"/>
    <cellStyle name="20% - Accent1 2 2 6 4" xfId="10391" xr:uid="{0BB3E5EC-B2A2-43C1-8240-00DD9653A7C7}"/>
    <cellStyle name="20% - Accent1 2 2 7" xfId="2266" xr:uid="{00000000-0005-0000-0000-000028000000}"/>
    <cellStyle name="20% - Accent1 2 2 7 2" xfId="6572" xr:uid="{00000000-0005-0000-0000-000029000000}"/>
    <cellStyle name="20% - Accent1 2 2 7 2 2" xfId="15022" xr:uid="{EC650D9D-1F00-481C-8392-98664841CEA6}"/>
    <cellStyle name="20% - Accent1 2 2 7 3" xfId="10804" xr:uid="{5571ECB7-4E4C-419B-9C14-7C7D73F682FA}"/>
    <cellStyle name="20% - Accent1 2 2 8" xfId="4506" xr:uid="{00000000-0005-0000-0000-00002A000000}"/>
    <cellStyle name="20% - Accent1 2 2 8 2" xfId="12956" xr:uid="{F3FA1581-B691-4488-845C-44D42F614409}"/>
    <cellStyle name="20% - Accent1 2 2 9" xfId="8738" xr:uid="{0980FA45-8AE8-4156-86F6-C666A4FDFF37}"/>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2 2 2" xfId="15517" xr:uid="{5E6D1BCB-D5C9-44DB-A3D4-108A8514D3D0}"/>
    <cellStyle name="20% - Accent1 2 3 2 2 3" xfId="11299" xr:uid="{6E9678CE-3520-4473-AE7D-70A6AA043053}"/>
    <cellStyle name="20% - Accent1 2 3 2 3" xfId="4922" xr:uid="{00000000-0005-0000-0000-00002F000000}"/>
    <cellStyle name="20% - Accent1 2 3 2 3 2" xfId="13372" xr:uid="{8EF4EA0C-B199-48BA-A695-C54B638E3248}"/>
    <cellStyle name="20% - Accent1 2 3 2 4" xfId="9154" xr:uid="{8698ACE5-0793-482D-849E-83AA7BFA797C}"/>
    <cellStyle name="20% - Accent1 2 3 3" xfId="1027" xr:uid="{00000000-0005-0000-0000-000030000000}"/>
    <cellStyle name="20% - Accent1 2 3 3 2" xfId="3258" xr:uid="{00000000-0005-0000-0000-000031000000}"/>
    <cellStyle name="20% - Accent1 2 3 3 2 2" xfId="7480" xr:uid="{00000000-0005-0000-0000-000032000000}"/>
    <cellStyle name="20% - Accent1 2 3 3 2 2 2" xfId="15930" xr:uid="{BA391116-848A-4853-ABD4-0869D2088CE9}"/>
    <cellStyle name="20% - Accent1 2 3 3 2 3" xfId="11712" xr:uid="{A7BDDB83-397E-4E85-85DD-0103DA608780}"/>
    <cellStyle name="20% - Accent1 2 3 3 3" xfId="5335" xr:uid="{00000000-0005-0000-0000-000033000000}"/>
    <cellStyle name="20% - Accent1 2 3 3 3 2" xfId="13785" xr:uid="{3BDCC7AC-1F5C-4B7C-B0FD-695593FD77EC}"/>
    <cellStyle name="20% - Accent1 2 3 3 4" xfId="9567" xr:uid="{3595D694-42B1-4DDC-9B98-A638BAD2987A}"/>
    <cellStyle name="20% - Accent1 2 3 4" xfId="1441" xr:uid="{00000000-0005-0000-0000-000034000000}"/>
    <cellStyle name="20% - Accent1 2 3 4 2" xfId="3671" xr:uid="{00000000-0005-0000-0000-000035000000}"/>
    <cellStyle name="20% - Accent1 2 3 4 2 2" xfId="7893" xr:uid="{00000000-0005-0000-0000-000036000000}"/>
    <cellStyle name="20% - Accent1 2 3 4 2 2 2" xfId="16343" xr:uid="{414B683E-3557-48A4-BE0F-7F6F3B8FD0E6}"/>
    <cellStyle name="20% - Accent1 2 3 4 2 3" xfId="12125" xr:uid="{C536AC22-FF3C-4E7D-A3E6-B46D68CAD7A8}"/>
    <cellStyle name="20% - Accent1 2 3 4 3" xfId="5748" xr:uid="{00000000-0005-0000-0000-000037000000}"/>
    <cellStyle name="20% - Accent1 2 3 4 3 2" xfId="14198" xr:uid="{96C06819-4090-4239-8D84-AC02B46E522E}"/>
    <cellStyle name="20% - Accent1 2 3 4 4" xfId="9980" xr:uid="{AF74F65A-29C6-4133-9185-B582E0398393}"/>
    <cellStyle name="20% - Accent1 2 3 5" xfId="1855" xr:uid="{00000000-0005-0000-0000-000038000000}"/>
    <cellStyle name="20% - Accent1 2 3 5 2" xfId="4084" xr:uid="{00000000-0005-0000-0000-000039000000}"/>
    <cellStyle name="20% - Accent1 2 3 5 2 2" xfId="8306" xr:uid="{00000000-0005-0000-0000-00003A000000}"/>
    <cellStyle name="20% - Accent1 2 3 5 2 2 2" xfId="16756" xr:uid="{58D0DDB9-7C9A-4911-BCA4-DA5E182F6EA1}"/>
    <cellStyle name="20% - Accent1 2 3 5 2 3" xfId="12538" xr:uid="{7E757E3A-8597-453C-82CC-11A571360CC4}"/>
    <cellStyle name="20% - Accent1 2 3 5 3" xfId="6161" xr:uid="{00000000-0005-0000-0000-00003B000000}"/>
    <cellStyle name="20% - Accent1 2 3 5 3 2" xfId="14611" xr:uid="{A75E0E85-887F-4E6C-A7E7-1DCB90B4423C}"/>
    <cellStyle name="20% - Accent1 2 3 5 4" xfId="10393" xr:uid="{CD7B6E5D-6ACF-461C-9919-7B2610C8C4E3}"/>
    <cellStyle name="20% - Accent1 2 3 6" xfId="2268" xr:uid="{00000000-0005-0000-0000-00003C000000}"/>
    <cellStyle name="20% - Accent1 2 3 6 2" xfId="6574" xr:uid="{00000000-0005-0000-0000-00003D000000}"/>
    <cellStyle name="20% - Accent1 2 3 6 2 2" xfId="15024" xr:uid="{766ED07E-985B-4A07-9968-4BC8BE491AA0}"/>
    <cellStyle name="20% - Accent1 2 3 6 3" xfId="10806" xr:uid="{41C51C76-E542-4282-912A-34C9412716E4}"/>
    <cellStyle name="20% - Accent1 2 3 7" xfId="4508" xr:uid="{00000000-0005-0000-0000-00003E000000}"/>
    <cellStyle name="20% - Accent1 2 3 7 2" xfId="12958" xr:uid="{B758AF73-32D3-4806-AA57-F4EB0859EA97}"/>
    <cellStyle name="20% - Accent1 2 3 8" xfId="8740" xr:uid="{77DD9A35-3576-44A5-BFBF-209227CC8292}"/>
    <cellStyle name="20% - Accent1 2 4" xfId="571" xr:uid="{00000000-0005-0000-0000-00003F000000}"/>
    <cellStyle name="20% - Accent1 2 4 2" xfId="2842" xr:uid="{00000000-0005-0000-0000-000040000000}"/>
    <cellStyle name="20% - Accent1 2 4 2 2" xfId="7064" xr:uid="{00000000-0005-0000-0000-000041000000}"/>
    <cellStyle name="20% - Accent1 2 4 2 2 2" xfId="15514" xr:uid="{551C8DF3-BF98-484D-B120-49F0FCA87EA8}"/>
    <cellStyle name="20% - Accent1 2 4 2 3" xfId="11296" xr:uid="{9AC6FD3B-EC5F-44F4-B4C7-AC3AF46D2EEB}"/>
    <cellStyle name="20% - Accent1 2 4 3" xfId="4919" xr:uid="{00000000-0005-0000-0000-000042000000}"/>
    <cellStyle name="20% - Accent1 2 4 3 2" xfId="13369" xr:uid="{35BC8304-E78F-497E-B6AF-00B7368308F8}"/>
    <cellStyle name="20% - Accent1 2 4 4" xfId="9151" xr:uid="{680540A8-6E1B-419C-A75C-999B0C623BA9}"/>
    <cellStyle name="20% - Accent1 2 5" xfId="1024" xr:uid="{00000000-0005-0000-0000-000043000000}"/>
    <cellStyle name="20% - Accent1 2 5 2" xfId="3255" xr:uid="{00000000-0005-0000-0000-000044000000}"/>
    <cellStyle name="20% - Accent1 2 5 2 2" xfId="7477" xr:uid="{00000000-0005-0000-0000-000045000000}"/>
    <cellStyle name="20% - Accent1 2 5 2 2 2" xfId="15927" xr:uid="{7E63876E-9BC0-40E2-BF14-83CBD37B780B}"/>
    <cellStyle name="20% - Accent1 2 5 2 3" xfId="11709" xr:uid="{FFDB865B-DE25-47DD-9C1A-B6916D074672}"/>
    <cellStyle name="20% - Accent1 2 5 3" xfId="5332" xr:uid="{00000000-0005-0000-0000-000046000000}"/>
    <cellStyle name="20% - Accent1 2 5 3 2" xfId="13782" xr:uid="{58A3AE93-1EDB-4FF3-BF05-DAD20AC8AFD8}"/>
    <cellStyle name="20% - Accent1 2 5 4" xfId="9564" xr:uid="{62611949-DB87-4DFD-BBB8-6C4D1E89CEF5}"/>
    <cellStyle name="20% - Accent1 2 6" xfId="1438" xr:uid="{00000000-0005-0000-0000-000047000000}"/>
    <cellStyle name="20% - Accent1 2 6 2" xfId="3668" xr:uid="{00000000-0005-0000-0000-000048000000}"/>
    <cellStyle name="20% - Accent1 2 6 2 2" xfId="7890" xr:uid="{00000000-0005-0000-0000-000049000000}"/>
    <cellStyle name="20% - Accent1 2 6 2 2 2" xfId="16340" xr:uid="{6796F23A-3E45-406C-BDED-E230D641C5CE}"/>
    <cellStyle name="20% - Accent1 2 6 2 3" xfId="12122" xr:uid="{447E60B5-B0D3-4B52-865E-518A12DF9603}"/>
    <cellStyle name="20% - Accent1 2 6 3" xfId="5745" xr:uid="{00000000-0005-0000-0000-00004A000000}"/>
    <cellStyle name="20% - Accent1 2 6 3 2" xfId="14195" xr:uid="{C3E0AB2C-CE8D-4C19-B6EA-2271D23E5DB1}"/>
    <cellStyle name="20% - Accent1 2 6 4" xfId="9977" xr:uid="{FD72627D-33D2-4D3F-AE63-899E9CD6903D}"/>
    <cellStyle name="20% - Accent1 2 7" xfId="1852" xr:uid="{00000000-0005-0000-0000-00004B000000}"/>
    <cellStyle name="20% - Accent1 2 7 2" xfId="4081" xr:uid="{00000000-0005-0000-0000-00004C000000}"/>
    <cellStyle name="20% - Accent1 2 7 2 2" xfId="8303" xr:uid="{00000000-0005-0000-0000-00004D000000}"/>
    <cellStyle name="20% - Accent1 2 7 2 2 2" xfId="16753" xr:uid="{CA32AA5F-2320-478A-82B1-C4490E5D6FBC}"/>
    <cellStyle name="20% - Accent1 2 7 2 3" xfId="12535" xr:uid="{F611EC4B-6EDC-47AD-8698-83058B7F9EF5}"/>
    <cellStyle name="20% - Accent1 2 7 3" xfId="6158" xr:uid="{00000000-0005-0000-0000-00004E000000}"/>
    <cellStyle name="20% - Accent1 2 7 3 2" xfId="14608" xr:uid="{F17B39B6-6468-47C0-9DD5-F8F5201DD9AD}"/>
    <cellStyle name="20% - Accent1 2 7 4" xfId="10390" xr:uid="{B636A2AE-20C7-4896-BCB0-C79D6412F386}"/>
    <cellStyle name="20% - Accent1 2 8" xfId="2265" xr:uid="{00000000-0005-0000-0000-00004F000000}"/>
    <cellStyle name="20% - Accent1 2 8 2" xfId="6571" xr:uid="{00000000-0005-0000-0000-000050000000}"/>
    <cellStyle name="20% - Accent1 2 8 2 2" xfId="15021" xr:uid="{4A92D971-E364-4197-A79D-B172EBB59326}"/>
    <cellStyle name="20% - Accent1 2 8 3" xfId="10803" xr:uid="{81E5859A-0BA5-4826-935E-06186CCAD257}"/>
    <cellStyle name="20% - Accent1 2 9" xfId="4505" xr:uid="{00000000-0005-0000-0000-000051000000}"/>
    <cellStyle name="20% - Accent1 2 9 2" xfId="12955" xr:uid="{1135CCED-9733-48C1-A93A-68E61297B7D4}"/>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2 2 2" xfId="15519" xr:uid="{5C377753-F934-494B-9F29-8149E5C8BCE6}"/>
    <cellStyle name="20% - Accent1 3 2 2 2 3" xfId="11301" xr:uid="{658245E5-5393-4877-9864-311179717D09}"/>
    <cellStyle name="20% - Accent1 3 2 2 3" xfId="4924" xr:uid="{00000000-0005-0000-0000-000057000000}"/>
    <cellStyle name="20% - Accent1 3 2 2 3 2" xfId="13374" xr:uid="{2FE426B4-1C9C-461A-A2C6-0DE6CB566E02}"/>
    <cellStyle name="20% - Accent1 3 2 2 4" xfId="9156" xr:uid="{4E2DCE9C-7769-4947-9C62-5D2A0D311428}"/>
    <cellStyle name="20% - Accent1 3 2 3" xfId="1029" xr:uid="{00000000-0005-0000-0000-000058000000}"/>
    <cellStyle name="20% - Accent1 3 2 3 2" xfId="3260" xr:uid="{00000000-0005-0000-0000-000059000000}"/>
    <cellStyle name="20% - Accent1 3 2 3 2 2" xfId="7482" xr:uid="{00000000-0005-0000-0000-00005A000000}"/>
    <cellStyle name="20% - Accent1 3 2 3 2 2 2" xfId="15932" xr:uid="{00C9D69A-1BB6-460F-AFBA-1827C8F25EFE}"/>
    <cellStyle name="20% - Accent1 3 2 3 2 3" xfId="11714" xr:uid="{48806865-0AE9-4B6B-977E-C4FA30CB38BA}"/>
    <cellStyle name="20% - Accent1 3 2 3 3" xfId="5337" xr:uid="{00000000-0005-0000-0000-00005B000000}"/>
    <cellStyle name="20% - Accent1 3 2 3 3 2" xfId="13787" xr:uid="{5ABDB3B5-FF80-41BC-814B-99C31FC7B34D}"/>
    <cellStyle name="20% - Accent1 3 2 3 4" xfId="9569" xr:uid="{FF3BB989-D16B-46FF-91CA-0E18A03C49D8}"/>
    <cellStyle name="20% - Accent1 3 2 4" xfId="1443" xr:uid="{00000000-0005-0000-0000-00005C000000}"/>
    <cellStyle name="20% - Accent1 3 2 4 2" xfId="3673" xr:uid="{00000000-0005-0000-0000-00005D000000}"/>
    <cellStyle name="20% - Accent1 3 2 4 2 2" xfId="7895" xr:uid="{00000000-0005-0000-0000-00005E000000}"/>
    <cellStyle name="20% - Accent1 3 2 4 2 2 2" xfId="16345" xr:uid="{6082C5DA-09C5-4585-AE11-5391234FEE5E}"/>
    <cellStyle name="20% - Accent1 3 2 4 2 3" xfId="12127" xr:uid="{245FACAC-5264-4FEB-BE9F-DCDB7A1EF0E8}"/>
    <cellStyle name="20% - Accent1 3 2 4 3" xfId="5750" xr:uid="{00000000-0005-0000-0000-00005F000000}"/>
    <cellStyle name="20% - Accent1 3 2 4 3 2" xfId="14200" xr:uid="{20A95620-77A9-4BD3-BB5B-64B32BF84A93}"/>
    <cellStyle name="20% - Accent1 3 2 4 4" xfId="9982" xr:uid="{EBC16526-B84E-470B-9C70-4DFA4747D1EE}"/>
    <cellStyle name="20% - Accent1 3 2 5" xfId="1857" xr:uid="{00000000-0005-0000-0000-000060000000}"/>
    <cellStyle name="20% - Accent1 3 2 5 2" xfId="4086" xr:uid="{00000000-0005-0000-0000-000061000000}"/>
    <cellStyle name="20% - Accent1 3 2 5 2 2" xfId="8308" xr:uid="{00000000-0005-0000-0000-000062000000}"/>
    <cellStyle name="20% - Accent1 3 2 5 2 2 2" xfId="16758" xr:uid="{D84235F0-117A-4637-A91D-3C777BA31A50}"/>
    <cellStyle name="20% - Accent1 3 2 5 2 3" xfId="12540" xr:uid="{38194350-BF7A-462C-B7F3-25EAC2618E1C}"/>
    <cellStyle name="20% - Accent1 3 2 5 3" xfId="6163" xr:uid="{00000000-0005-0000-0000-000063000000}"/>
    <cellStyle name="20% - Accent1 3 2 5 3 2" xfId="14613" xr:uid="{2029C38F-B619-4C39-893F-79834AB2EA1C}"/>
    <cellStyle name="20% - Accent1 3 2 5 4" xfId="10395" xr:uid="{4091936A-C33A-4484-A790-F28056C658DE}"/>
    <cellStyle name="20% - Accent1 3 2 6" xfId="2270" xr:uid="{00000000-0005-0000-0000-000064000000}"/>
    <cellStyle name="20% - Accent1 3 2 6 2" xfId="6576" xr:uid="{00000000-0005-0000-0000-000065000000}"/>
    <cellStyle name="20% - Accent1 3 2 6 2 2" xfId="15026" xr:uid="{A271A675-2520-4479-AA24-D9E885A6053F}"/>
    <cellStyle name="20% - Accent1 3 2 6 3" xfId="10808" xr:uid="{9439FB33-C481-4F96-BDFA-10BE283A8DB8}"/>
    <cellStyle name="20% - Accent1 3 2 7" xfId="4510" xr:uid="{00000000-0005-0000-0000-000066000000}"/>
    <cellStyle name="20% - Accent1 3 2 7 2" xfId="12960" xr:uid="{B395C4D5-46D8-4B01-8492-42B97DAF36B4}"/>
    <cellStyle name="20% - Accent1 3 2 8" xfId="8742" xr:uid="{4713A43C-5824-4459-A991-19613966CA0F}"/>
    <cellStyle name="20% - Accent1 3 3" xfId="575" xr:uid="{00000000-0005-0000-0000-000067000000}"/>
    <cellStyle name="20% - Accent1 3 3 2" xfId="2846" xr:uid="{00000000-0005-0000-0000-000068000000}"/>
    <cellStyle name="20% - Accent1 3 3 2 2" xfId="7068" xr:uid="{00000000-0005-0000-0000-000069000000}"/>
    <cellStyle name="20% - Accent1 3 3 2 2 2" xfId="15518" xr:uid="{5FFCA88D-2228-4B8A-B1FA-E6D1A4167DC9}"/>
    <cellStyle name="20% - Accent1 3 3 2 3" xfId="11300" xr:uid="{1DFBBC35-F18E-4C50-92D4-1FDB49034D4C}"/>
    <cellStyle name="20% - Accent1 3 3 3" xfId="4923" xr:uid="{00000000-0005-0000-0000-00006A000000}"/>
    <cellStyle name="20% - Accent1 3 3 3 2" xfId="13373" xr:uid="{21EC250E-EEB3-481C-AE64-8FBA55B47EED}"/>
    <cellStyle name="20% - Accent1 3 3 4" xfId="9155" xr:uid="{989A3930-81C7-4E3E-BB18-0E77DDF89277}"/>
    <cellStyle name="20% - Accent1 3 4" xfId="1028" xr:uid="{00000000-0005-0000-0000-00006B000000}"/>
    <cellStyle name="20% - Accent1 3 4 2" xfId="3259" xr:uid="{00000000-0005-0000-0000-00006C000000}"/>
    <cellStyle name="20% - Accent1 3 4 2 2" xfId="7481" xr:uid="{00000000-0005-0000-0000-00006D000000}"/>
    <cellStyle name="20% - Accent1 3 4 2 2 2" xfId="15931" xr:uid="{14393C3C-6716-434F-AF88-91F3E543E914}"/>
    <cellStyle name="20% - Accent1 3 4 2 3" xfId="11713" xr:uid="{1D19E3D0-B991-43B3-8A13-0F9CA8794B26}"/>
    <cellStyle name="20% - Accent1 3 4 3" xfId="5336" xr:uid="{00000000-0005-0000-0000-00006E000000}"/>
    <cellStyle name="20% - Accent1 3 4 3 2" xfId="13786" xr:uid="{473A46FA-350D-41A9-AC23-0C60A8BA31A4}"/>
    <cellStyle name="20% - Accent1 3 4 4" xfId="9568" xr:uid="{153EF8E7-74B4-477B-801E-177BB3A71A83}"/>
    <cellStyle name="20% - Accent1 3 5" xfId="1442" xr:uid="{00000000-0005-0000-0000-00006F000000}"/>
    <cellStyle name="20% - Accent1 3 5 2" xfId="3672" xr:uid="{00000000-0005-0000-0000-000070000000}"/>
    <cellStyle name="20% - Accent1 3 5 2 2" xfId="7894" xr:uid="{00000000-0005-0000-0000-000071000000}"/>
    <cellStyle name="20% - Accent1 3 5 2 2 2" xfId="16344" xr:uid="{75A4CBE4-86B4-4DCE-9FF3-4D905A93AAB7}"/>
    <cellStyle name="20% - Accent1 3 5 2 3" xfId="12126" xr:uid="{7BC8FCCF-4F9C-439A-A35A-95BB2139D7E9}"/>
    <cellStyle name="20% - Accent1 3 5 3" xfId="5749" xr:uid="{00000000-0005-0000-0000-000072000000}"/>
    <cellStyle name="20% - Accent1 3 5 3 2" xfId="14199" xr:uid="{278482A4-AD6D-4F7A-B050-CDD3A81CF613}"/>
    <cellStyle name="20% - Accent1 3 5 4" xfId="9981" xr:uid="{BC948B6F-8121-4C1F-84A6-DAF8FCA58840}"/>
    <cellStyle name="20% - Accent1 3 6" xfId="1856" xr:uid="{00000000-0005-0000-0000-000073000000}"/>
    <cellStyle name="20% - Accent1 3 6 2" xfId="4085" xr:uid="{00000000-0005-0000-0000-000074000000}"/>
    <cellStyle name="20% - Accent1 3 6 2 2" xfId="8307" xr:uid="{00000000-0005-0000-0000-000075000000}"/>
    <cellStyle name="20% - Accent1 3 6 2 2 2" xfId="16757" xr:uid="{C4669EE9-6097-4844-A978-6866320E91AC}"/>
    <cellStyle name="20% - Accent1 3 6 2 3" xfId="12539" xr:uid="{9022574B-3725-4945-A450-E610AA16F7FF}"/>
    <cellStyle name="20% - Accent1 3 6 3" xfId="6162" xr:uid="{00000000-0005-0000-0000-000076000000}"/>
    <cellStyle name="20% - Accent1 3 6 3 2" xfId="14612" xr:uid="{1E56AAE5-A6F1-4EFE-A59A-7102C1606A20}"/>
    <cellStyle name="20% - Accent1 3 6 4" xfId="10394" xr:uid="{BD3F29B1-B835-40E1-9314-1BA2622F0A89}"/>
    <cellStyle name="20% - Accent1 3 7" xfId="2269" xr:uid="{00000000-0005-0000-0000-000077000000}"/>
    <cellStyle name="20% - Accent1 3 7 2" xfId="6575" xr:uid="{00000000-0005-0000-0000-000078000000}"/>
    <cellStyle name="20% - Accent1 3 7 2 2" xfId="15025" xr:uid="{2779BF17-7BC5-41A6-A07B-8A9B9A463519}"/>
    <cellStyle name="20% - Accent1 3 7 3" xfId="10807" xr:uid="{602FF963-6CDC-46B4-BE3C-37FF5859BB63}"/>
    <cellStyle name="20% - Accent1 3 8" xfId="4509" xr:uid="{00000000-0005-0000-0000-000079000000}"/>
    <cellStyle name="20% - Accent1 3 8 2" xfId="12959" xr:uid="{328228D0-5C28-4FE4-B172-1E6EC7C61C75}"/>
    <cellStyle name="20% - Accent1 3 9" xfId="8741" xr:uid="{50D889C5-B546-4494-96C9-24329E4C3762}"/>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2 2 2" xfId="15520" xr:uid="{899472A1-011A-4A81-A6D0-11082DB9AEE8}"/>
    <cellStyle name="20% - Accent1 4 2 2 3" xfId="11302" xr:uid="{C08F02CE-2394-4D42-8CB9-8E13798B5493}"/>
    <cellStyle name="20% - Accent1 4 2 3" xfId="4925" xr:uid="{00000000-0005-0000-0000-00007E000000}"/>
    <cellStyle name="20% - Accent1 4 2 3 2" xfId="13375" xr:uid="{BB0D32A6-D126-4170-9313-DCF28A87C298}"/>
    <cellStyle name="20% - Accent1 4 2 4" xfId="9157" xr:uid="{9CF7D6EC-B292-4C01-9A91-A3C63F19E646}"/>
    <cellStyle name="20% - Accent1 4 3" xfId="1030" xr:uid="{00000000-0005-0000-0000-00007F000000}"/>
    <cellStyle name="20% - Accent1 4 3 2" xfId="3261" xr:uid="{00000000-0005-0000-0000-000080000000}"/>
    <cellStyle name="20% - Accent1 4 3 2 2" xfId="7483" xr:uid="{00000000-0005-0000-0000-000081000000}"/>
    <cellStyle name="20% - Accent1 4 3 2 2 2" xfId="15933" xr:uid="{00B89CAA-B925-4443-B808-50EAC51F2B44}"/>
    <cellStyle name="20% - Accent1 4 3 2 3" xfId="11715" xr:uid="{DF4A2C8C-827B-4CFB-8F72-022BA1C6D4EE}"/>
    <cellStyle name="20% - Accent1 4 3 3" xfId="5338" xr:uid="{00000000-0005-0000-0000-000082000000}"/>
    <cellStyle name="20% - Accent1 4 3 3 2" xfId="13788" xr:uid="{E014BE5C-1222-4CBD-97F3-24688AB12109}"/>
    <cellStyle name="20% - Accent1 4 3 4" xfId="9570" xr:uid="{B9E04A04-9610-4C9B-B785-73686B28EDA2}"/>
    <cellStyle name="20% - Accent1 4 4" xfId="1444" xr:uid="{00000000-0005-0000-0000-000083000000}"/>
    <cellStyle name="20% - Accent1 4 4 2" xfId="3674" xr:uid="{00000000-0005-0000-0000-000084000000}"/>
    <cellStyle name="20% - Accent1 4 4 2 2" xfId="7896" xr:uid="{00000000-0005-0000-0000-000085000000}"/>
    <cellStyle name="20% - Accent1 4 4 2 2 2" xfId="16346" xr:uid="{53DA8662-FD3D-413F-9627-6B858AD31644}"/>
    <cellStyle name="20% - Accent1 4 4 2 3" xfId="12128" xr:uid="{E27DD787-E2B5-46B5-AFC2-2D8B257DC3F7}"/>
    <cellStyle name="20% - Accent1 4 4 3" xfId="5751" xr:uid="{00000000-0005-0000-0000-000086000000}"/>
    <cellStyle name="20% - Accent1 4 4 3 2" xfId="14201" xr:uid="{7EE7CC35-A6C6-4631-98B2-594DD286EAA3}"/>
    <cellStyle name="20% - Accent1 4 4 4" xfId="9983" xr:uid="{277EDD29-D9B0-4B42-B2C3-58118D1892DE}"/>
    <cellStyle name="20% - Accent1 4 5" xfId="1858" xr:uid="{00000000-0005-0000-0000-000087000000}"/>
    <cellStyle name="20% - Accent1 4 5 2" xfId="4087" xr:uid="{00000000-0005-0000-0000-000088000000}"/>
    <cellStyle name="20% - Accent1 4 5 2 2" xfId="8309" xr:uid="{00000000-0005-0000-0000-000089000000}"/>
    <cellStyle name="20% - Accent1 4 5 2 2 2" xfId="16759" xr:uid="{AAE8CAC7-FEC1-454F-A72F-0A1BD6B096C8}"/>
    <cellStyle name="20% - Accent1 4 5 2 3" xfId="12541" xr:uid="{F02CFC47-54B2-42A3-B745-152B76BE2D89}"/>
    <cellStyle name="20% - Accent1 4 5 3" xfId="6164" xr:uid="{00000000-0005-0000-0000-00008A000000}"/>
    <cellStyle name="20% - Accent1 4 5 3 2" xfId="14614" xr:uid="{74FB07DC-1104-4E2B-BD1E-B0213D8B3A92}"/>
    <cellStyle name="20% - Accent1 4 5 4" xfId="10396" xr:uid="{EA9CD5DE-08E1-4242-9223-EE8321A722FE}"/>
    <cellStyle name="20% - Accent1 4 6" xfId="2271" xr:uid="{00000000-0005-0000-0000-00008B000000}"/>
    <cellStyle name="20% - Accent1 4 6 2" xfId="6577" xr:uid="{00000000-0005-0000-0000-00008C000000}"/>
    <cellStyle name="20% - Accent1 4 6 2 2" xfId="15027" xr:uid="{BF7CA0BD-062A-46A2-BB4F-D9E6A8EC64A9}"/>
    <cellStyle name="20% - Accent1 4 6 3" xfId="10809" xr:uid="{DEEC4021-E264-429C-ABD6-5CC8C5145256}"/>
    <cellStyle name="20% - Accent1 4 7" xfId="4511" xr:uid="{00000000-0005-0000-0000-00008D000000}"/>
    <cellStyle name="20% - Accent1 4 7 2" xfId="12961" xr:uid="{5F670050-F4F2-42C0-BA3E-8AB8DE7F8217}"/>
    <cellStyle name="20% - Accent1 4 8" xfId="8743" xr:uid="{65A3CC98-30EA-4853-A706-933F2AB5554B}"/>
    <cellStyle name="20% - Accent1 5" xfId="570" xr:uid="{00000000-0005-0000-0000-00008E000000}"/>
    <cellStyle name="20% - Accent1 5 2" xfId="2841" xr:uid="{00000000-0005-0000-0000-00008F000000}"/>
    <cellStyle name="20% - Accent1 5 2 2" xfId="7063" xr:uid="{00000000-0005-0000-0000-000090000000}"/>
    <cellStyle name="20% - Accent1 5 2 2 2" xfId="15513" xr:uid="{A5485D1B-47EE-48FB-B68B-AEA56C04BFA0}"/>
    <cellStyle name="20% - Accent1 5 2 3" xfId="11295" xr:uid="{81E60B0A-D83C-4765-B5E7-6EDAC6E98E64}"/>
    <cellStyle name="20% - Accent1 5 3" xfId="4918" xr:uid="{00000000-0005-0000-0000-000091000000}"/>
    <cellStyle name="20% - Accent1 5 3 2" xfId="13368" xr:uid="{EE9DB158-4BD1-4532-8603-8AE7FBB9B275}"/>
    <cellStyle name="20% - Accent1 5 4" xfId="9150" xr:uid="{B4BA16B5-8F0F-44DA-8DDD-49E15DBDEB2F}"/>
    <cellStyle name="20% - Accent1 6" xfId="1023" xr:uid="{00000000-0005-0000-0000-000092000000}"/>
    <cellStyle name="20% - Accent1 6 2" xfId="3254" xr:uid="{00000000-0005-0000-0000-000093000000}"/>
    <cellStyle name="20% - Accent1 6 2 2" xfId="7476" xr:uid="{00000000-0005-0000-0000-000094000000}"/>
    <cellStyle name="20% - Accent1 6 2 2 2" xfId="15926" xr:uid="{FD891FAE-1651-4DF8-BCD2-16053B18BA09}"/>
    <cellStyle name="20% - Accent1 6 2 3" xfId="11708" xr:uid="{21387D50-CA2B-4ACA-A078-15D38BA7761F}"/>
    <cellStyle name="20% - Accent1 6 3" xfId="5331" xr:uid="{00000000-0005-0000-0000-000095000000}"/>
    <cellStyle name="20% - Accent1 6 3 2" xfId="13781" xr:uid="{D39D8B95-556D-4188-A772-531A36CF5E79}"/>
    <cellStyle name="20% - Accent1 6 4" xfId="9563" xr:uid="{03A2F28C-D5E7-4B49-896F-E617A0B8B5FB}"/>
    <cellStyle name="20% - Accent1 7" xfId="1437" xr:uid="{00000000-0005-0000-0000-000096000000}"/>
    <cellStyle name="20% - Accent1 7 2" xfId="3667" xr:uid="{00000000-0005-0000-0000-000097000000}"/>
    <cellStyle name="20% - Accent1 7 2 2" xfId="7889" xr:uid="{00000000-0005-0000-0000-000098000000}"/>
    <cellStyle name="20% - Accent1 7 2 2 2" xfId="16339" xr:uid="{30C6E65C-F428-4147-A75A-BD4B191D7626}"/>
    <cellStyle name="20% - Accent1 7 2 3" xfId="12121" xr:uid="{FFC8F785-FF20-4072-8F2E-7C3286C85690}"/>
    <cellStyle name="20% - Accent1 7 3" xfId="5744" xr:uid="{00000000-0005-0000-0000-000099000000}"/>
    <cellStyle name="20% - Accent1 7 3 2" xfId="14194" xr:uid="{7CCC70C7-E1A3-4FD0-A3C0-D7C50307845E}"/>
    <cellStyle name="20% - Accent1 7 4" xfId="9976" xr:uid="{1E27E6C8-2AB1-4C7C-A347-AD89EB5FB2DA}"/>
    <cellStyle name="20% - Accent1 8" xfId="1851" xr:uid="{00000000-0005-0000-0000-00009A000000}"/>
    <cellStyle name="20% - Accent1 8 2" xfId="4080" xr:uid="{00000000-0005-0000-0000-00009B000000}"/>
    <cellStyle name="20% - Accent1 8 2 2" xfId="8302" xr:uid="{00000000-0005-0000-0000-00009C000000}"/>
    <cellStyle name="20% - Accent1 8 2 2 2" xfId="16752" xr:uid="{B7531C7F-B1E1-4A0F-AEB8-35C505BEF359}"/>
    <cellStyle name="20% - Accent1 8 2 3" xfId="12534" xr:uid="{69E53F67-C14A-4AC4-9729-4AF974F16983}"/>
    <cellStyle name="20% - Accent1 8 3" xfId="6157" xr:uid="{00000000-0005-0000-0000-00009D000000}"/>
    <cellStyle name="20% - Accent1 8 3 2" xfId="14607" xr:uid="{B48247AB-6D61-4E08-9441-DB2A48A8C668}"/>
    <cellStyle name="20% - Accent1 8 4" xfId="10389" xr:uid="{703DBEFE-ADAA-47A0-96D1-A6628AEF43BA}"/>
    <cellStyle name="20% - Accent1 9" xfId="2264" xr:uid="{00000000-0005-0000-0000-00009E000000}"/>
    <cellStyle name="20% - Accent1 9 2" xfId="6570" xr:uid="{00000000-0005-0000-0000-00009F000000}"/>
    <cellStyle name="20% - Accent1 9 2 2" xfId="15020" xr:uid="{6ECE9481-19ED-40EB-9839-1098DF70408C}"/>
    <cellStyle name="20% - Accent1 9 3" xfId="10802" xr:uid="{B4050256-7EE0-4C79-ABF8-2AC95DA1D5A1}"/>
    <cellStyle name="20% - Accent2" xfId="9" builtinId="34" customBuiltin="1"/>
    <cellStyle name="20% - Accent2 10" xfId="4512" xr:uid="{00000000-0005-0000-0000-0000A1000000}"/>
    <cellStyle name="20% - Accent2 10 2" xfId="12962" xr:uid="{5E5C367F-E106-4C5C-AF93-AADF27F638B9}"/>
    <cellStyle name="20% - Accent2 11" xfId="8744" xr:uid="{B479836D-6523-42C2-BDD0-009B5E8AE758}"/>
    <cellStyle name="20% - Accent2 2" xfId="10" xr:uid="{00000000-0005-0000-0000-0000A2000000}"/>
    <cellStyle name="20% - Accent2 2 10" xfId="8745" xr:uid="{D7EEA2EB-3490-45C0-A4D3-22A3D394469C}"/>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2 2 2" xfId="15524" xr:uid="{C9721E01-AD9C-47A2-9CC7-4940B93F82F6}"/>
    <cellStyle name="20% - Accent2 2 2 2 2 2 3" xfId="11306" xr:uid="{0D6F094C-2C24-40A0-A73E-419B8B98AFB3}"/>
    <cellStyle name="20% - Accent2 2 2 2 2 3" xfId="4929" xr:uid="{00000000-0005-0000-0000-0000A8000000}"/>
    <cellStyle name="20% - Accent2 2 2 2 2 3 2" xfId="13379" xr:uid="{58CBA494-3FB1-4E56-8D0E-EFC9E4CE4E44}"/>
    <cellStyle name="20% - Accent2 2 2 2 2 4" xfId="9161" xr:uid="{E7CF65AA-8A5C-4E7F-9C31-5D5C81FE8E21}"/>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2 2 2" xfId="15937" xr:uid="{FD0BC091-8238-4B73-8DF1-030912F0B9E7}"/>
    <cellStyle name="20% - Accent2 2 2 2 3 2 3" xfId="11719" xr:uid="{AA1CAB78-FF67-4DA9-959B-9587AE415822}"/>
    <cellStyle name="20% - Accent2 2 2 2 3 3" xfId="5342" xr:uid="{00000000-0005-0000-0000-0000AC000000}"/>
    <cellStyle name="20% - Accent2 2 2 2 3 3 2" xfId="13792" xr:uid="{A54D9ADF-4423-4798-A97A-FFE566CF87A1}"/>
    <cellStyle name="20% - Accent2 2 2 2 3 4" xfId="9574" xr:uid="{EFA39FF8-A080-4CE5-A7D8-80EB5C2296EC}"/>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2 2 2" xfId="16350" xr:uid="{5660981C-256C-4936-8973-CF8263548C7A}"/>
    <cellStyle name="20% - Accent2 2 2 2 4 2 3" xfId="12132" xr:uid="{E6D08E79-1AAB-482D-B5FD-FA44533CBDF2}"/>
    <cellStyle name="20% - Accent2 2 2 2 4 3" xfId="5755" xr:uid="{00000000-0005-0000-0000-0000B0000000}"/>
    <cellStyle name="20% - Accent2 2 2 2 4 3 2" xfId="14205" xr:uid="{B72EE271-BFF9-42F2-A954-A6CD806EBBFC}"/>
    <cellStyle name="20% - Accent2 2 2 2 4 4" xfId="9987" xr:uid="{82E8B1FB-F758-4105-B7B0-5F99C850589C}"/>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2 2 2" xfId="16763" xr:uid="{E7B34001-3871-414B-9D23-3EDEDBC307BE}"/>
    <cellStyle name="20% - Accent2 2 2 2 5 2 3" xfId="12545" xr:uid="{4FF971E8-2B19-4F6A-9F0F-9588E12618B4}"/>
    <cellStyle name="20% - Accent2 2 2 2 5 3" xfId="6168" xr:uid="{00000000-0005-0000-0000-0000B4000000}"/>
    <cellStyle name="20% - Accent2 2 2 2 5 3 2" xfId="14618" xr:uid="{E571652E-FBA1-4D48-B172-6BFEA9EA1BCD}"/>
    <cellStyle name="20% - Accent2 2 2 2 5 4" xfId="10400" xr:uid="{6857F0E5-14F4-4463-8623-A64AB1EDDC8D}"/>
    <cellStyle name="20% - Accent2 2 2 2 6" xfId="2275" xr:uid="{00000000-0005-0000-0000-0000B5000000}"/>
    <cellStyle name="20% - Accent2 2 2 2 6 2" xfId="6581" xr:uid="{00000000-0005-0000-0000-0000B6000000}"/>
    <cellStyle name="20% - Accent2 2 2 2 6 2 2" xfId="15031" xr:uid="{D50A1575-D26B-498F-AF0C-0E6C47076535}"/>
    <cellStyle name="20% - Accent2 2 2 2 6 3" xfId="10813" xr:uid="{01281CD4-D3AB-49B3-9D1B-1F035236E5A6}"/>
    <cellStyle name="20% - Accent2 2 2 2 7" xfId="4515" xr:uid="{00000000-0005-0000-0000-0000B7000000}"/>
    <cellStyle name="20% - Accent2 2 2 2 7 2" xfId="12965" xr:uid="{C0CC9827-6E98-42C9-B54E-07ED48608490}"/>
    <cellStyle name="20% - Accent2 2 2 2 8" xfId="8747" xr:uid="{CAEB541A-69BC-48A9-8421-3C30FF9C6B86}"/>
    <cellStyle name="20% - Accent2 2 2 3" xfId="580" xr:uid="{00000000-0005-0000-0000-0000B8000000}"/>
    <cellStyle name="20% - Accent2 2 2 3 2" xfId="2851" xr:uid="{00000000-0005-0000-0000-0000B9000000}"/>
    <cellStyle name="20% - Accent2 2 2 3 2 2" xfId="7073" xr:uid="{00000000-0005-0000-0000-0000BA000000}"/>
    <cellStyle name="20% - Accent2 2 2 3 2 2 2" xfId="15523" xr:uid="{41D721AD-7623-49C1-9017-820133C61BCA}"/>
    <cellStyle name="20% - Accent2 2 2 3 2 3" xfId="11305" xr:uid="{315901F8-AF8A-492C-9F61-8285755A2DDA}"/>
    <cellStyle name="20% - Accent2 2 2 3 3" xfId="4928" xr:uid="{00000000-0005-0000-0000-0000BB000000}"/>
    <cellStyle name="20% - Accent2 2 2 3 3 2" xfId="13378" xr:uid="{9B3F5443-30ED-4140-827F-593169C96118}"/>
    <cellStyle name="20% - Accent2 2 2 3 4" xfId="9160" xr:uid="{2ABEEFF7-C464-4330-BB2F-717FA848551E}"/>
    <cellStyle name="20% - Accent2 2 2 4" xfId="1033" xr:uid="{00000000-0005-0000-0000-0000BC000000}"/>
    <cellStyle name="20% - Accent2 2 2 4 2" xfId="3264" xr:uid="{00000000-0005-0000-0000-0000BD000000}"/>
    <cellStyle name="20% - Accent2 2 2 4 2 2" xfId="7486" xr:uid="{00000000-0005-0000-0000-0000BE000000}"/>
    <cellStyle name="20% - Accent2 2 2 4 2 2 2" xfId="15936" xr:uid="{3D87676C-0195-4382-A95B-8FA881F830D9}"/>
    <cellStyle name="20% - Accent2 2 2 4 2 3" xfId="11718" xr:uid="{8C5AE185-8241-49F1-B061-2D63FFB1DC53}"/>
    <cellStyle name="20% - Accent2 2 2 4 3" xfId="5341" xr:uid="{00000000-0005-0000-0000-0000BF000000}"/>
    <cellStyle name="20% - Accent2 2 2 4 3 2" xfId="13791" xr:uid="{E1CDD5B8-15FA-4364-AFB4-76B578F0FCAF}"/>
    <cellStyle name="20% - Accent2 2 2 4 4" xfId="9573" xr:uid="{91732736-2E83-4535-BECD-AC19D9E90CF1}"/>
    <cellStyle name="20% - Accent2 2 2 5" xfId="1447" xr:uid="{00000000-0005-0000-0000-0000C0000000}"/>
    <cellStyle name="20% - Accent2 2 2 5 2" xfId="3677" xr:uid="{00000000-0005-0000-0000-0000C1000000}"/>
    <cellStyle name="20% - Accent2 2 2 5 2 2" xfId="7899" xr:uid="{00000000-0005-0000-0000-0000C2000000}"/>
    <cellStyle name="20% - Accent2 2 2 5 2 2 2" xfId="16349" xr:uid="{894155E3-F85B-487D-9B12-2E9AA2F138CC}"/>
    <cellStyle name="20% - Accent2 2 2 5 2 3" xfId="12131" xr:uid="{530E74B6-C9BC-4840-9970-4D49D0249BEC}"/>
    <cellStyle name="20% - Accent2 2 2 5 3" xfId="5754" xr:uid="{00000000-0005-0000-0000-0000C3000000}"/>
    <cellStyle name="20% - Accent2 2 2 5 3 2" xfId="14204" xr:uid="{5ED66623-02A6-4511-9924-76AE94E63A1F}"/>
    <cellStyle name="20% - Accent2 2 2 5 4" xfId="9986" xr:uid="{3DC019B1-5838-4582-A5C6-AF2AC2F1736F}"/>
    <cellStyle name="20% - Accent2 2 2 6" xfId="1861" xr:uid="{00000000-0005-0000-0000-0000C4000000}"/>
    <cellStyle name="20% - Accent2 2 2 6 2" xfId="4090" xr:uid="{00000000-0005-0000-0000-0000C5000000}"/>
    <cellStyle name="20% - Accent2 2 2 6 2 2" xfId="8312" xr:uid="{00000000-0005-0000-0000-0000C6000000}"/>
    <cellStyle name="20% - Accent2 2 2 6 2 2 2" xfId="16762" xr:uid="{35E04DEB-347B-4952-8196-F982877B087F}"/>
    <cellStyle name="20% - Accent2 2 2 6 2 3" xfId="12544" xr:uid="{A0F640B3-C820-4636-B70C-FA609277A828}"/>
    <cellStyle name="20% - Accent2 2 2 6 3" xfId="6167" xr:uid="{00000000-0005-0000-0000-0000C7000000}"/>
    <cellStyle name="20% - Accent2 2 2 6 3 2" xfId="14617" xr:uid="{F73854CC-F80D-46D5-B02E-2C2A0CDAA222}"/>
    <cellStyle name="20% - Accent2 2 2 6 4" xfId="10399" xr:uid="{088E0E91-0344-4894-8878-1D42D0980A6E}"/>
    <cellStyle name="20% - Accent2 2 2 7" xfId="2274" xr:uid="{00000000-0005-0000-0000-0000C8000000}"/>
    <cellStyle name="20% - Accent2 2 2 7 2" xfId="6580" xr:uid="{00000000-0005-0000-0000-0000C9000000}"/>
    <cellStyle name="20% - Accent2 2 2 7 2 2" xfId="15030" xr:uid="{F52ED2C8-BA38-45A1-B3EA-7281CD2E0AF0}"/>
    <cellStyle name="20% - Accent2 2 2 7 3" xfId="10812" xr:uid="{BF3D097A-0F9B-469C-82A4-D77FA660B376}"/>
    <cellStyle name="20% - Accent2 2 2 8" xfId="4514" xr:uid="{00000000-0005-0000-0000-0000CA000000}"/>
    <cellStyle name="20% - Accent2 2 2 8 2" xfId="12964" xr:uid="{7B05EC04-DD0A-440D-AE26-7220CA52E09D}"/>
    <cellStyle name="20% - Accent2 2 2 9" xfId="8746" xr:uid="{E8979207-7AB1-4482-848D-890B94596131}"/>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2 2 2" xfId="15525" xr:uid="{DE316525-2CED-41BF-AAC3-46E9BC3710EF}"/>
    <cellStyle name="20% - Accent2 2 3 2 2 3" xfId="11307" xr:uid="{156BA00D-914E-4C12-9CEF-3B8D0239E94D}"/>
    <cellStyle name="20% - Accent2 2 3 2 3" xfId="4930" xr:uid="{00000000-0005-0000-0000-0000CF000000}"/>
    <cellStyle name="20% - Accent2 2 3 2 3 2" xfId="13380" xr:uid="{DF4640D9-88FA-4D3B-8CD7-894FCD0EA3EF}"/>
    <cellStyle name="20% - Accent2 2 3 2 4" xfId="9162" xr:uid="{4F6646E7-EC26-483B-A0EC-E35716E0419D}"/>
    <cellStyle name="20% - Accent2 2 3 3" xfId="1035" xr:uid="{00000000-0005-0000-0000-0000D0000000}"/>
    <cellStyle name="20% - Accent2 2 3 3 2" xfId="3266" xr:uid="{00000000-0005-0000-0000-0000D1000000}"/>
    <cellStyle name="20% - Accent2 2 3 3 2 2" xfId="7488" xr:uid="{00000000-0005-0000-0000-0000D2000000}"/>
    <cellStyle name="20% - Accent2 2 3 3 2 2 2" xfId="15938" xr:uid="{200BF592-4C6D-42A6-9265-386D39BB8B5F}"/>
    <cellStyle name="20% - Accent2 2 3 3 2 3" xfId="11720" xr:uid="{4A2678F1-F191-45A1-B2D8-AA3547F330E1}"/>
    <cellStyle name="20% - Accent2 2 3 3 3" xfId="5343" xr:uid="{00000000-0005-0000-0000-0000D3000000}"/>
    <cellStyle name="20% - Accent2 2 3 3 3 2" xfId="13793" xr:uid="{B5C14369-C389-44E9-B445-D7DF5057D38C}"/>
    <cellStyle name="20% - Accent2 2 3 3 4" xfId="9575" xr:uid="{67F9045A-72E9-453B-A94A-FD4E05132203}"/>
    <cellStyle name="20% - Accent2 2 3 4" xfId="1449" xr:uid="{00000000-0005-0000-0000-0000D4000000}"/>
    <cellStyle name="20% - Accent2 2 3 4 2" xfId="3679" xr:uid="{00000000-0005-0000-0000-0000D5000000}"/>
    <cellStyle name="20% - Accent2 2 3 4 2 2" xfId="7901" xr:uid="{00000000-0005-0000-0000-0000D6000000}"/>
    <cellStyle name="20% - Accent2 2 3 4 2 2 2" xfId="16351" xr:uid="{F874F295-8BD0-4B7F-869C-D60F5AE4BC8A}"/>
    <cellStyle name="20% - Accent2 2 3 4 2 3" xfId="12133" xr:uid="{435B9A2E-6F95-4234-A656-6C7BA69849A3}"/>
    <cellStyle name="20% - Accent2 2 3 4 3" xfId="5756" xr:uid="{00000000-0005-0000-0000-0000D7000000}"/>
    <cellStyle name="20% - Accent2 2 3 4 3 2" xfId="14206" xr:uid="{1E747DDD-2B16-4B31-8E2D-0F0FC86CB7C2}"/>
    <cellStyle name="20% - Accent2 2 3 4 4" xfId="9988" xr:uid="{A25498E3-C247-4ED5-B52A-BC97241B9515}"/>
    <cellStyle name="20% - Accent2 2 3 5" xfId="1863" xr:uid="{00000000-0005-0000-0000-0000D8000000}"/>
    <cellStyle name="20% - Accent2 2 3 5 2" xfId="4092" xr:uid="{00000000-0005-0000-0000-0000D9000000}"/>
    <cellStyle name="20% - Accent2 2 3 5 2 2" xfId="8314" xr:uid="{00000000-0005-0000-0000-0000DA000000}"/>
    <cellStyle name="20% - Accent2 2 3 5 2 2 2" xfId="16764" xr:uid="{60F3774D-80C2-4257-A7BF-4394EBB3F05F}"/>
    <cellStyle name="20% - Accent2 2 3 5 2 3" xfId="12546" xr:uid="{9FA52B0D-E04E-4BFC-A651-8CCC90854733}"/>
    <cellStyle name="20% - Accent2 2 3 5 3" xfId="6169" xr:uid="{00000000-0005-0000-0000-0000DB000000}"/>
    <cellStyle name="20% - Accent2 2 3 5 3 2" xfId="14619" xr:uid="{DBA4CEE7-8AEB-47B3-8FF5-735C0A8AC5BF}"/>
    <cellStyle name="20% - Accent2 2 3 5 4" xfId="10401" xr:uid="{66B6E135-358F-4D24-A7D1-2269001CB5F4}"/>
    <cellStyle name="20% - Accent2 2 3 6" xfId="2276" xr:uid="{00000000-0005-0000-0000-0000DC000000}"/>
    <cellStyle name="20% - Accent2 2 3 6 2" xfId="6582" xr:uid="{00000000-0005-0000-0000-0000DD000000}"/>
    <cellStyle name="20% - Accent2 2 3 6 2 2" xfId="15032" xr:uid="{59CA29AD-A36F-4EF9-AE38-7C4FED593C3E}"/>
    <cellStyle name="20% - Accent2 2 3 6 3" xfId="10814" xr:uid="{05C35662-61B3-40BC-9546-2C356FA86C54}"/>
    <cellStyle name="20% - Accent2 2 3 7" xfId="4516" xr:uid="{00000000-0005-0000-0000-0000DE000000}"/>
    <cellStyle name="20% - Accent2 2 3 7 2" xfId="12966" xr:uid="{22697195-CA93-4441-A70B-47E77F19F175}"/>
    <cellStyle name="20% - Accent2 2 3 8" xfId="8748" xr:uid="{8080FF22-E348-4BB4-A179-939263346C36}"/>
    <cellStyle name="20% - Accent2 2 4" xfId="579" xr:uid="{00000000-0005-0000-0000-0000DF000000}"/>
    <cellStyle name="20% - Accent2 2 4 2" xfId="2850" xr:uid="{00000000-0005-0000-0000-0000E0000000}"/>
    <cellStyle name="20% - Accent2 2 4 2 2" xfId="7072" xr:uid="{00000000-0005-0000-0000-0000E1000000}"/>
    <cellStyle name="20% - Accent2 2 4 2 2 2" xfId="15522" xr:uid="{58E6A8BF-C96B-449A-BE27-9A388B7C9515}"/>
    <cellStyle name="20% - Accent2 2 4 2 3" xfId="11304" xr:uid="{C413676F-D2D1-4E9E-A2B0-2950CD306F20}"/>
    <cellStyle name="20% - Accent2 2 4 3" xfId="4927" xr:uid="{00000000-0005-0000-0000-0000E2000000}"/>
    <cellStyle name="20% - Accent2 2 4 3 2" xfId="13377" xr:uid="{8C64E798-2ECD-43B6-B160-568802B77493}"/>
    <cellStyle name="20% - Accent2 2 4 4" xfId="9159" xr:uid="{A3965076-584B-461D-95E8-8B6D08EC7F94}"/>
    <cellStyle name="20% - Accent2 2 5" xfId="1032" xr:uid="{00000000-0005-0000-0000-0000E3000000}"/>
    <cellStyle name="20% - Accent2 2 5 2" xfId="3263" xr:uid="{00000000-0005-0000-0000-0000E4000000}"/>
    <cellStyle name="20% - Accent2 2 5 2 2" xfId="7485" xr:uid="{00000000-0005-0000-0000-0000E5000000}"/>
    <cellStyle name="20% - Accent2 2 5 2 2 2" xfId="15935" xr:uid="{B0870355-518C-4FA3-A4C4-BFAADE9DAE6D}"/>
    <cellStyle name="20% - Accent2 2 5 2 3" xfId="11717" xr:uid="{B14907D8-8462-4D33-AA22-C8CD6B6533E6}"/>
    <cellStyle name="20% - Accent2 2 5 3" xfId="5340" xr:uid="{00000000-0005-0000-0000-0000E6000000}"/>
    <cellStyle name="20% - Accent2 2 5 3 2" xfId="13790" xr:uid="{59C214B7-5792-49C6-A1BE-FFCF38960F3B}"/>
    <cellStyle name="20% - Accent2 2 5 4" xfId="9572" xr:uid="{2690A37C-C68F-4FFF-873F-2563C23D16E3}"/>
    <cellStyle name="20% - Accent2 2 6" xfId="1446" xr:uid="{00000000-0005-0000-0000-0000E7000000}"/>
    <cellStyle name="20% - Accent2 2 6 2" xfId="3676" xr:uid="{00000000-0005-0000-0000-0000E8000000}"/>
    <cellStyle name="20% - Accent2 2 6 2 2" xfId="7898" xr:uid="{00000000-0005-0000-0000-0000E9000000}"/>
    <cellStyle name="20% - Accent2 2 6 2 2 2" xfId="16348" xr:uid="{1E5A1BA1-FA69-41C9-BE89-C39769F98822}"/>
    <cellStyle name="20% - Accent2 2 6 2 3" xfId="12130" xr:uid="{CE7AC99A-A1FB-4BFF-95BC-155753C02A5C}"/>
    <cellStyle name="20% - Accent2 2 6 3" xfId="5753" xr:uid="{00000000-0005-0000-0000-0000EA000000}"/>
    <cellStyle name="20% - Accent2 2 6 3 2" xfId="14203" xr:uid="{DEC3A4FC-1845-4AD7-B086-5C51A376BBEE}"/>
    <cellStyle name="20% - Accent2 2 6 4" xfId="9985" xr:uid="{31E21F41-AB9A-46B4-ACCD-0EBFB4E9213B}"/>
    <cellStyle name="20% - Accent2 2 7" xfId="1860" xr:uid="{00000000-0005-0000-0000-0000EB000000}"/>
    <cellStyle name="20% - Accent2 2 7 2" xfId="4089" xr:uid="{00000000-0005-0000-0000-0000EC000000}"/>
    <cellStyle name="20% - Accent2 2 7 2 2" xfId="8311" xr:uid="{00000000-0005-0000-0000-0000ED000000}"/>
    <cellStyle name="20% - Accent2 2 7 2 2 2" xfId="16761" xr:uid="{7FDAF0F5-DC50-4061-BCD2-4FCB9838F09E}"/>
    <cellStyle name="20% - Accent2 2 7 2 3" xfId="12543" xr:uid="{65239F2D-D0C6-4AB6-9F9F-C4F8D3472EE5}"/>
    <cellStyle name="20% - Accent2 2 7 3" xfId="6166" xr:uid="{00000000-0005-0000-0000-0000EE000000}"/>
    <cellStyle name="20% - Accent2 2 7 3 2" xfId="14616" xr:uid="{9CBBD320-56BD-4298-92C6-1AA9E0E33926}"/>
    <cellStyle name="20% - Accent2 2 7 4" xfId="10398" xr:uid="{1E8103D0-D273-44ED-B46C-DC662A4C6A83}"/>
    <cellStyle name="20% - Accent2 2 8" xfId="2273" xr:uid="{00000000-0005-0000-0000-0000EF000000}"/>
    <cellStyle name="20% - Accent2 2 8 2" xfId="6579" xr:uid="{00000000-0005-0000-0000-0000F0000000}"/>
    <cellStyle name="20% - Accent2 2 8 2 2" xfId="15029" xr:uid="{E8837185-BBF0-4B7D-88FF-6B59C6FF360A}"/>
    <cellStyle name="20% - Accent2 2 8 3" xfId="10811" xr:uid="{041C9B8F-6C80-4CCE-A901-E584C509A5CC}"/>
    <cellStyle name="20% - Accent2 2 9" xfId="4513" xr:uid="{00000000-0005-0000-0000-0000F1000000}"/>
    <cellStyle name="20% - Accent2 2 9 2" xfId="12963" xr:uid="{87D4073D-D572-4B2D-A184-3D8532E805D6}"/>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2 2 2" xfId="15527" xr:uid="{83E0DA64-3D5D-4CF6-9218-E86655328E2E}"/>
    <cellStyle name="20% - Accent2 3 2 2 2 3" xfId="11309" xr:uid="{8EFEC74D-AE92-4200-9A55-E180FFFC99B9}"/>
    <cellStyle name="20% - Accent2 3 2 2 3" xfId="4932" xr:uid="{00000000-0005-0000-0000-0000F7000000}"/>
    <cellStyle name="20% - Accent2 3 2 2 3 2" xfId="13382" xr:uid="{5D93C81F-4B2A-4BE2-9C21-1FCE07B48AE5}"/>
    <cellStyle name="20% - Accent2 3 2 2 4" xfId="9164" xr:uid="{311B5929-1F26-4DC2-AFD4-94D9E1ED0BEC}"/>
    <cellStyle name="20% - Accent2 3 2 3" xfId="1037" xr:uid="{00000000-0005-0000-0000-0000F8000000}"/>
    <cellStyle name="20% - Accent2 3 2 3 2" xfId="3268" xr:uid="{00000000-0005-0000-0000-0000F9000000}"/>
    <cellStyle name="20% - Accent2 3 2 3 2 2" xfId="7490" xr:uid="{00000000-0005-0000-0000-0000FA000000}"/>
    <cellStyle name="20% - Accent2 3 2 3 2 2 2" xfId="15940" xr:uid="{F6E7E3F3-728A-4760-A45E-CAB9A8DC9DDB}"/>
    <cellStyle name="20% - Accent2 3 2 3 2 3" xfId="11722" xr:uid="{EF8E0BEC-5B1F-4077-BD62-EDB02CB61818}"/>
    <cellStyle name="20% - Accent2 3 2 3 3" xfId="5345" xr:uid="{00000000-0005-0000-0000-0000FB000000}"/>
    <cellStyle name="20% - Accent2 3 2 3 3 2" xfId="13795" xr:uid="{C092CFBB-C5D1-4C7C-8C7F-9C186F6ADEB7}"/>
    <cellStyle name="20% - Accent2 3 2 3 4" xfId="9577" xr:uid="{54BCAE36-D08D-4845-8B22-60D31D0B74D9}"/>
    <cellStyle name="20% - Accent2 3 2 4" xfId="1451" xr:uid="{00000000-0005-0000-0000-0000FC000000}"/>
    <cellStyle name="20% - Accent2 3 2 4 2" xfId="3681" xr:uid="{00000000-0005-0000-0000-0000FD000000}"/>
    <cellStyle name="20% - Accent2 3 2 4 2 2" xfId="7903" xr:uid="{00000000-0005-0000-0000-0000FE000000}"/>
    <cellStyle name="20% - Accent2 3 2 4 2 2 2" xfId="16353" xr:uid="{D90BB43B-DA0B-4B66-8D50-BF6FFD49E472}"/>
    <cellStyle name="20% - Accent2 3 2 4 2 3" xfId="12135" xr:uid="{8320F17C-10E3-4337-91B5-5D52ED4A8D5C}"/>
    <cellStyle name="20% - Accent2 3 2 4 3" xfId="5758" xr:uid="{00000000-0005-0000-0000-0000FF000000}"/>
    <cellStyle name="20% - Accent2 3 2 4 3 2" xfId="14208" xr:uid="{DFFD6DCE-877B-4144-84E1-F815AB674E6F}"/>
    <cellStyle name="20% - Accent2 3 2 4 4" xfId="9990" xr:uid="{2B9DCBB5-F57E-4F8B-AD1E-EAE55468F4E4}"/>
    <cellStyle name="20% - Accent2 3 2 5" xfId="1865" xr:uid="{00000000-0005-0000-0000-000000010000}"/>
    <cellStyle name="20% - Accent2 3 2 5 2" xfId="4094" xr:uid="{00000000-0005-0000-0000-000001010000}"/>
    <cellStyle name="20% - Accent2 3 2 5 2 2" xfId="8316" xr:uid="{00000000-0005-0000-0000-000002010000}"/>
    <cellStyle name="20% - Accent2 3 2 5 2 2 2" xfId="16766" xr:uid="{48CBA217-8707-4137-8534-C5744D979195}"/>
    <cellStyle name="20% - Accent2 3 2 5 2 3" xfId="12548" xr:uid="{CBC0EA66-399D-49FE-A5D3-A51EB9B64085}"/>
    <cellStyle name="20% - Accent2 3 2 5 3" xfId="6171" xr:uid="{00000000-0005-0000-0000-000003010000}"/>
    <cellStyle name="20% - Accent2 3 2 5 3 2" xfId="14621" xr:uid="{73DA4CA4-2141-4FF7-B267-E832C04D6E7D}"/>
    <cellStyle name="20% - Accent2 3 2 5 4" xfId="10403" xr:uid="{0328A99F-89E2-44F5-A87B-4C42945B338D}"/>
    <cellStyle name="20% - Accent2 3 2 6" xfId="2278" xr:uid="{00000000-0005-0000-0000-000004010000}"/>
    <cellStyle name="20% - Accent2 3 2 6 2" xfId="6584" xr:uid="{00000000-0005-0000-0000-000005010000}"/>
    <cellStyle name="20% - Accent2 3 2 6 2 2" xfId="15034" xr:uid="{CDEE2191-0D0E-4C4E-8ED4-9796DFF9F751}"/>
    <cellStyle name="20% - Accent2 3 2 6 3" xfId="10816" xr:uid="{57C3ABFE-53C4-4095-8B64-E06347F54D2A}"/>
    <cellStyle name="20% - Accent2 3 2 7" xfId="4518" xr:uid="{00000000-0005-0000-0000-000006010000}"/>
    <cellStyle name="20% - Accent2 3 2 7 2" xfId="12968" xr:uid="{9D9BA292-92B6-40F6-915D-0F27F3BE21D0}"/>
    <cellStyle name="20% - Accent2 3 2 8" xfId="8750" xr:uid="{2A2DCD9F-56D6-44FF-B61A-DDE130DF0B3C}"/>
    <cellStyle name="20% - Accent2 3 3" xfId="583" xr:uid="{00000000-0005-0000-0000-000007010000}"/>
    <cellStyle name="20% - Accent2 3 3 2" xfId="2854" xr:uid="{00000000-0005-0000-0000-000008010000}"/>
    <cellStyle name="20% - Accent2 3 3 2 2" xfId="7076" xr:uid="{00000000-0005-0000-0000-000009010000}"/>
    <cellStyle name="20% - Accent2 3 3 2 2 2" xfId="15526" xr:uid="{81065653-8547-4AB7-9FA7-2A73F477912E}"/>
    <cellStyle name="20% - Accent2 3 3 2 3" xfId="11308" xr:uid="{B13CD4B5-7E76-42CE-9FA2-8B1502E6F56A}"/>
    <cellStyle name="20% - Accent2 3 3 3" xfId="4931" xr:uid="{00000000-0005-0000-0000-00000A010000}"/>
    <cellStyle name="20% - Accent2 3 3 3 2" xfId="13381" xr:uid="{408D9B70-DD36-496B-97F4-27928A09E182}"/>
    <cellStyle name="20% - Accent2 3 3 4" xfId="9163" xr:uid="{569CD8FD-3E07-4182-82EE-062732549590}"/>
    <cellStyle name="20% - Accent2 3 4" xfId="1036" xr:uid="{00000000-0005-0000-0000-00000B010000}"/>
    <cellStyle name="20% - Accent2 3 4 2" xfId="3267" xr:uid="{00000000-0005-0000-0000-00000C010000}"/>
    <cellStyle name="20% - Accent2 3 4 2 2" xfId="7489" xr:uid="{00000000-0005-0000-0000-00000D010000}"/>
    <cellStyle name="20% - Accent2 3 4 2 2 2" xfId="15939" xr:uid="{D3D822CB-9DA1-4F4D-A4DA-B5B4CDA1DB43}"/>
    <cellStyle name="20% - Accent2 3 4 2 3" xfId="11721" xr:uid="{5AF9FFB7-EF2F-4297-AD4A-5F8D3CDC3A6F}"/>
    <cellStyle name="20% - Accent2 3 4 3" xfId="5344" xr:uid="{00000000-0005-0000-0000-00000E010000}"/>
    <cellStyle name="20% - Accent2 3 4 3 2" xfId="13794" xr:uid="{F1C9D334-89F5-43B6-9787-B631A6525DBC}"/>
    <cellStyle name="20% - Accent2 3 4 4" xfId="9576" xr:uid="{0C99A742-1B2A-4866-83E4-A19A93F60EE7}"/>
    <cellStyle name="20% - Accent2 3 5" xfId="1450" xr:uid="{00000000-0005-0000-0000-00000F010000}"/>
    <cellStyle name="20% - Accent2 3 5 2" xfId="3680" xr:uid="{00000000-0005-0000-0000-000010010000}"/>
    <cellStyle name="20% - Accent2 3 5 2 2" xfId="7902" xr:uid="{00000000-0005-0000-0000-000011010000}"/>
    <cellStyle name="20% - Accent2 3 5 2 2 2" xfId="16352" xr:uid="{1AA5CB82-6DDC-44AF-874A-6437296F90BD}"/>
    <cellStyle name="20% - Accent2 3 5 2 3" xfId="12134" xr:uid="{3082A0C1-1104-4B61-977B-8425DE6678F4}"/>
    <cellStyle name="20% - Accent2 3 5 3" xfId="5757" xr:uid="{00000000-0005-0000-0000-000012010000}"/>
    <cellStyle name="20% - Accent2 3 5 3 2" xfId="14207" xr:uid="{B81E55AD-B9DF-4B20-AA07-2A75893F103A}"/>
    <cellStyle name="20% - Accent2 3 5 4" xfId="9989" xr:uid="{969B6169-869A-42B7-8761-F2E00B92AA9F}"/>
    <cellStyle name="20% - Accent2 3 6" xfId="1864" xr:uid="{00000000-0005-0000-0000-000013010000}"/>
    <cellStyle name="20% - Accent2 3 6 2" xfId="4093" xr:uid="{00000000-0005-0000-0000-000014010000}"/>
    <cellStyle name="20% - Accent2 3 6 2 2" xfId="8315" xr:uid="{00000000-0005-0000-0000-000015010000}"/>
    <cellStyle name="20% - Accent2 3 6 2 2 2" xfId="16765" xr:uid="{BA1B480F-AC21-4320-A12D-33CC8AC3C950}"/>
    <cellStyle name="20% - Accent2 3 6 2 3" xfId="12547" xr:uid="{5D9976C6-FA01-423F-8158-1EF1EF447B5E}"/>
    <cellStyle name="20% - Accent2 3 6 3" xfId="6170" xr:uid="{00000000-0005-0000-0000-000016010000}"/>
    <cellStyle name="20% - Accent2 3 6 3 2" xfId="14620" xr:uid="{BCE85A2D-50BF-41A1-9950-F8E782D66572}"/>
    <cellStyle name="20% - Accent2 3 6 4" xfId="10402" xr:uid="{051AE226-FA19-404B-9200-2718F6F226EF}"/>
    <cellStyle name="20% - Accent2 3 7" xfId="2277" xr:uid="{00000000-0005-0000-0000-000017010000}"/>
    <cellStyle name="20% - Accent2 3 7 2" xfId="6583" xr:uid="{00000000-0005-0000-0000-000018010000}"/>
    <cellStyle name="20% - Accent2 3 7 2 2" xfId="15033" xr:uid="{1BB2B0F6-5AAD-4093-A723-3DB482EB3C5B}"/>
    <cellStyle name="20% - Accent2 3 7 3" xfId="10815" xr:uid="{992A852C-DA00-4523-AF07-16FFF854B26F}"/>
    <cellStyle name="20% - Accent2 3 8" xfId="4517" xr:uid="{00000000-0005-0000-0000-000019010000}"/>
    <cellStyle name="20% - Accent2 3 8 2" xfId="12967" xr:uid="{675CC716-179F-401F-ACD9-2BFF3D2B29C9}"/>
    <cellStyle name="20% - Accent2 3 9" xfId="8749" xr:uid="{5AC4F2BA-70BC-4CF8-ABA4-D00471FBCF62}"/>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2 2 2" xfId="15528" xr:uid="{C2B061B2-3FDE-433E-B644-3ADD1A509F2A}"/>
    <cellStyle name="20% - Accent2 4 2 2 3" xfId="11310" xr:uid="{BEEE8BB6-011E-4CAB-87A3-AB0BC51769FB}"/>
    <cellStyle name="20% - Accent2 4 2 3" xfId="4933" xr:uid="{00000000-0005-0000-0000-00001E010000}"/>
    <cellStyle name="20% - Accent2 4 2 3 2" xfId="13383" xr:uid="{48C092E9-39D3-43B4-B76D-181C81B367F7}"/>
    <cellStyle name="20% - Accent2 4 2 4" xfId="9165" xr:uid="{171B0013-ED29-4135-8932-858091C09979}"/>
    <cellStyle name="20% - Accent2 4 3" xfId="1038" xr:uid="{00000000-0005-0000-0000-00001F010000}"/>
    <cellStyle name="20% - Accent2 4 3 2" xfId="3269" xr:uid="{00000000-0005-0000-0000-000020010000}"/>
    <cellStyle name="20% - Accent2 4 3 2 2" xfId="7491" xr:uid="{00000000-0005-0000-0000-000021010000}"/>
    <cellStyle name="20% - Accent2 4 3 2 2 2" xfId="15941" xr:uid="{4C410141-9B6E-48ED-B562-18BDDA1129A7}"/>
    <cellStyle name="20% - Accent2 4 3 2 3" xfId="11723" xr:uid="{C8078928-90FC-485B-B224-5DBE2DC35221}"/>
    <cellStyle name="20% - Accent2 4 3 3" xfId="5346" xr:uid="{00000000-0005-0000-0000-000022010000}"/>
    <cellStyle name="20% - Accent2 4 3 3 2" xfId="13796" xr:uid="{BA5ECE0E-22BD-467F-A688-990188FC4B45}"/>
    <cellStyle name="20% - Accent2 4 3 4" xfId="9578" xr:uid="{D89CF47C-2FFC-49E0-A9CA-D1A666CB70E5}"/>
    <cellStyle name="20% - Accent2 4 4" xfId="1452" xr:uid="{00000000-0005-0000-0000-000023010000}"/>
    <cellStyle name="20% - Accent2 4 4 2" xfId="3682" xr:uid="{00000000-0005-0000-0000-000024010000}"/>
    <cellStyle name="20% - Accent2 4 4 2 2" xfId="7904" xr:uid="{00000000-0005-0000-0000-000025010000}"/>
    <cellStyle name="20% - Accent2 4 4 2 2 2" xfId="16354" xr:uid="{938077E6-791E-4FA6-A20D-C49A72B809FC}"/>
    <cellStyle name="20% - Accent2 4 4 2 3" xfId="12136" xr:uid="{8F6F23D2-44DC-4567-AD65-2271E8D1E501}"/>
    <cellStyle name="20% - Accent2 4 4 3" xfId="5759" xr:uid="{00000000-0005-0000-0000-000026010000}"/>
    <cellStyle name="20% - Accent2 4 4 3 2" xfId="14209" xr:uid="{A7D7B1CB-6FEE-4D8F-ABE7-0F1692BAE235}"/>
    <cellStyle name="20% - Accent2 4 4 4" xfId="9991" xr:uid="{EA3A1E98-3DBE-47EA-B2ED-64EDE1515545}"/>
    <cellStyle name="20% - Accent2 4 5" xfId="1866" xr:uid="{00000000-0005-0000-0000-000027010000}"/>
    <cellStyle name="20% - Accent2 4 5 2" xfId="4095" xr:uid="{00000000-0005-0000-0000-000028010000}"/>
    <cellStyle name="20% - Accent2 4 5 2 2" xfId="8317" xr:uid="{00000000-0005-0000-0000-000029010000}"/>
    <cellStyle name="20% - Accent2 4 5 2 2 2" xfId="16767" xr:uid="{2B24406B-B62B-497A-9E04-0C41D3EF8B2F}"/>
    <cellStyle name="20% - Accent2 4 5 2 3" xfId="12549" xr:uid="{70E6197F-0F73-4558-86E5-B1497543E1A9}"/>
    <cellStyle name="20% - Accent2 4 5 3" xfId="6172" xr:uid="{00000000-0005-0000-0000-00002A010000}"/>
    <cellStyle name="20% - Accent2 4 5 3 2" xfId="14622" xr:uid="{2F8E824A-BA34-4FB2-B2FF-2872737EAA47}"/>
    <cellStyle name="20% - Accent2 4 5 4" xfId="10404" xr:uid="{72579206-A5FF-4077-B211-C800E7866A3E}"/>
    <cellStyle name="20% - Accent2 4 6" xfId="2279" xr:uid="{00000000-0005-0000-0000-00002B010000}"/>
    <cellStyle name="20% - Accent2 4 6 2" xfId="6585" xr:uid="{00000000-0005-0000-0000-00002C010000}"/>
    <cellStyle name="20% - Accent2 4 6 2 2" xfId="15035" xr:uid="{9B1C43DC-0060-4A24-B068-BA3E56C1AEF8}"/>
    <cellStyle name="20% - Accent2 4 6 3" xfId="10817" xr:uid="{F7F76636-A750-4516-9719-85748CE830BE}"/>
    <cellStyle name="20% - Accent2 4 7" xfId="4519" xr:uid="{00000000-0005-0000-0000-00002D010000}"/>
    <cellStyle name="20% - Accent2 4 7 2" xfId="12969" xr:uid="{F8BEB90D-53B6-4F73-A514-83FB676BA55F}"/>
    <cellStyle name="20% - Accent2 4 8" xfId="8751" xr:uid="{C918745A-8758-4F4E-9F70-97317431C720}"/>
    <cellStyle name="20% - Accent2 5" xfId="578" xr:uid="{00000000-0005-0000-0000-00002E010000}"/>
    <cellStyle name="20% - Accent2 5 2" xfId="2849" xr:uid="{00000000-0005-0000-0000-00002F010000}"/>
    <cellStyle name="20% - Accent2 5 2 2" xfId="7071" xr:uid="{00000000-0005-0000-0000-000030010000}"/>
    <cellStyle name="20% - Accent2 5 2 2 2" xfId="15521" xr:uid="{7061A4A7-7E1D-4F8F-99A2-BBE7FD5A38E5}"/>
    <cellStyle name="20% - Accent2 5 2 3" xfId="11303" xr:uid="{F135EAA1-C134-4D36-8EDD-9CC2DC6BE6E4}"/>
    <cellStyle name="20% - Accent2 5 3" xfId="4926" xr:uid="{00000000-0005-0000-0000-000031010000}"/>
    <cellStyle name="20% - Accent2 5 3 2" xfId="13376" xr:uid="{1BA55456-B8E9-47E3-A444-61458C4CD9DF}"/>
    <cellStyle name="20% - Accent2 5 4" xfId="9158" xr:uid="{922D151E-52C1-4E74-92B7-529CC641F6F9}"/>
    <cellStyle name="20% - Accent2 6" xfId="1031" xr:uid="{00000000-0005-0000-0000-000032010000}"/>
    <cellStyle name="20% - Accent2 6 2" xfId="3262" xr:uid="{00000000-0005-0000-0000-000033010000}"/>
    <cellStyle name="20% - Accent2 6 2 2" xfId="7484" xr:uid="{00000000-0005-0000-0000-000034010000}"/>
    <cellStyle name="20% - Accent2 6 2 2 2" xfId="15934" xr:uid="{F031F1D8-BC54-434A-8FDF-99EF87833C89}"/>
    <cellStyle name="20% - Accent2 6 2 3" xfId="11716" xr:uid="{E7F5D1C8-59FD-4E34-ACAB-09F188340DFD}"/>
    <cellStyle name="20% - Accent2 6 3" xfId="5339" xr:uid="{00000000-0005-0000-0000-000035010000}"/>
    <cellStyle name="20% - Accent2 6 3 2" xfId="13789" xr:uid="{8F8EB6E2-C545-4542-87BB-9B60C85A5441}"/>
    <cellStyle name="20% - Accent2 6 4" xfId="9571" xr:uid="{9CACEC10-27F4-44B3-9135-A4399C832CD5}"/>
    <cellStyle name="20% - Accent2 7" xfId="1445" xr:uid="{00000000-0005-0000-0000-000036010000}"/>
    <cellStyle name="20% - Accent2 7 2" xfId="3675" xr:uid="{00000000-0005-0000-0000-000037010000}"/>
    <cellStyle name="20% - Accent2 7 2 2" xfId="7897" xr:uid="{00000000-0005-0000-0000-000038010000}"/>
    <cellStyle name="20% - Accent2 7 2 2 2" xfId="16347" xr:uid="{AD271EF8-8661-4C61-9F3D-6BF0B2770A79}"/>
    <cellStyle name="20% - Accent2 7 2 3" xfId="12129" xr:uid="{A93A404F-2A35-4CEF-BE48-BA9B5FFC0309}"/>
    <cellStyle name="20% - Accent2 7 3" xfId="5752" xr:uid="{00000000-0005-0000-0000-000039010000}"/>
    <cellStyle name="20% - Accent2 7 3 2" xfId="14202" xr:uid="{65526698-93FB-4A1B-94AA-D70AAF4E05CF}"/>
    <cellStyle name="20% - Accent2 7 4" xfId="9984" xr:uid="{03C36637-5920-4692-BA9E-B958E5F459A9}"/>
    <cellStyle name="20% - Accent2 8" xfId="1859" xr:uid="{00000000-0005-0000-0000-00003A010000}"/>
    <cellStyle name="20% - Accent2 8 2" xfId="4088" xr:uid="{00000000-0005-0000-0000-00003B010000}"/>
    <cellStyle name="20% - Accent2 8 2 2" xfId="8310" xr:uid="{00000000-0005-0000-0000-00003C010000}"/>
    <cellStyle name="20% - Accent2 8 2 2 2" xfId="16760" xr:uid="{B3EA80FD-F7A6-4605-B221-F420872AB536}"/>
    <cellStyle name="20% - Accent2 8 2 3" xfId="12542" xr:uid="{558D9DEA-7F9C-4983-A48D-29142CF0FF73}"/>
    <cellStyle name="20% - Accent2 8 3" xfId="6165" xr:uid="{00000000-0005-0000-0000-00003D010000}"/>
    <cellStyle name="20% - Accent2 8 3 2" xfId="14615" xr:uid="{F1188CE1-2160-4D96-9056-D3785127302C}"/>
    <cellStyle name="20% - Accent2 8 4" xfId="10397" xr:uid="{FE918579-2D5F-4122-AF2C-59C9EA33E532}"/>
    <cellStyle name="20% - Accent2 9" xfId="2272" xr:uid="{00000000-0005-0000-0000-00003E010000}"/>
    <cellStyle name="20% - Accent2 9 2" xfId="6578" xr:uid="{00000000-0005-0000-0000-00003F010000}"/>
    <cellStyle name="20% - Accent2 9 2 2" xfId="15028" xr:uid="{AAEF3D97-7385-4034-B545-70F803710FD7}"/>
    <cellStyle name="20% - Accent2 9 3" xfId="10810" xr:uid="{3C7222DD-7893-4998-8314-CAE9C7BD47FE}"/>
    <cellStyle name="20% - Accent3" xfId="17" builtinId="38" customBuiltin="1"/>
    <cellStyle name="20% - Accent3 10" xfId="4520" xr:uid="{00000000-0005-0000-0000-000041010000}"/>
    <cellStyle name="20% - Accent3 10 2" xfId="12970" xr:uid="{F43B7E4E-A4C0-453C-B7F0-6B5DB0E34A1C}"/>
    <cellStyle name="20% - Accent3 11" xfId="8752" xr:uid="{4C479C14-C890-409C-B759-705084ECA6C8}"/>
    <cellStyle name="20% - Accent3 2" xfId="18" xr:uid="{00000000-0005-0000-0000-000042010000}"/>
    <cellStyle name="20% - Accent3 2 10" xfId="8753" xr:uid="{0FC0C978-CF7F-46DD-82C4-95F9C4BFB5F1}"/>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2 2 2" xfId="15532" xr:uid="{7A764578-D5BA-485C-A558-4DB63E252003}"/>
    <cellStyle name="20% - Accent3 2 2 2 2 2 3" xfId="11314" xr:uid="{7CC89251-5C96-4478-B6B6-AF3D8F917531}"/>
    <cellStyle name="20% - Accent3 2 2 2 2 3" xfId="4937" xr:uid="{00000000-0005-0000-0000-000048010000}"/>
    <cellStyle name="20% - Accent3 2 2 2 2 3 2" xfId="13387" xr:uid="{6BD5DBD2-98B2-4A21-B792-92EADF07ED7A}"/>
    <cellStyle name="20% - Accent3 2 2 2 2 4" xfId="9169" xr:uid="{E7090A6F-13D6-480A-9A82-6CB2B256F4B7}"/>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2 2 2" xfId="15945" xr:uid="{2E11527F-75C0-4863-91D2-CF263AE04404}"/>
    <cellStyle name="20% - Accent3 2 2 2 3 2 3" xfId="11727" xr:uid="{F7B562A8-D0D5-4C94-B3B5-125E340F9055}"/>
    <cellStyle name="20% - Accent3 2 2 2 3 3" xfId="5350" xr:uid="{00000000-0005-0000-0000-00004C010000}"/>
    <cellStyle name="20% - Accent3 2 2 2 3 3 2" xfId="13800" xr:uid="{40979E43-39C6-42DF-AD0C-A81385392BA8}"/>
    <cellStyle name="20% - Accent3 2 2 2 3 4" xfId="9582" xr:uid="{A1CD02F3-C75E-4293-92F1-D33D815F29E3}"/>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2 2 2" xfId="16358" xr:uid="{0BDB276B-A2EF-4905-B129-32FF7D5544DB}"/>
    <cellStyle name="20% - Accent3 2 2 2 4 2 3" xfId="12140" xr:uid="{3C7096B9-69E5-4216-8F0C-674E1DE45B57}"/>
    <cellStyle name="20% - Accent3 2 2 2 4 3" xfId="5763" xr:uid="{00000000-0005-0000-0000-000050010000}"/>
    <cellStyle name="20% - Accent3 2 2 2 4 3 2" xfId="14213" xr:uid="{FC759961-2507-43C6-A167-0C3511C4679A}"/>
    <cellStyle name="20% - Accent3 2 2 2 4 4" xfId="9995" xr:uid="{6E39CD40-2050-401B-9851-83861CA18B1B}"/>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2 2 2" xfId="16771" xr:uid="{ED2469DC-6B6A-4814-8F6E-11D5E2A90521}"/>
    <cellStyle name="20% - Accent3 2 2 2 5 2 3" xfId="12553" xr:uid="{AC905C05-EF15-4A44-A7D2-350DAB24B5F3}"/>
    <cellStyle name="20% - Accent3 2 2 2 5 3" xfId="6176" xr:uid="{00000000-0005-0000-0000-000054010000}"/>
    <cellStyle name="20% - Accent3 2 2 2 5 3 2" xfId="14626" xr:uid="{6131126C-B768-4458-AA10-CFDE6DF860BA}"/>
    <cellStyle name="20% - Accent3 2 2 2 5 4" xfId="10408" xr:uid="{A8B14651-C8D3-4A69-A347-C8DF0EA543B9}"/>
    <cellStyle name="20% - Accent3 2 2 2 6" xfId="2283" xr:uid="{00000000-0005-0000-0000-000055010000}"/>
    <cellStyle name="20% - Accent3 2 2 2 6 2" xfId="6589" xr:uid="{00000000-0005-0000-0000-000056010000}"/>
    <cellStyle name="20% - Accent3 2 2 2 6 2 2" xfId="15039" xr:uid="{AF51FD71-964F-4C35-8B6F-C8171569B1A0}"/>
    <cellStyle name="20% - Accent3 2 2 2 6 3" xfId="10821" xr:uid="{5E0D8FDF-D730-4EF7-A408-E92DDA6E8AF1}"/>
    <cellStyle name="20% - Accent3 2 2 2 7" xfId="4523" xr:uid="{00000000-0005-0000-0000-000057010000}"/>
    <cellStyle name="20% - Accent3 2 2 2 7 2" xfId="12973" xr:uid="{4F5638BC-D79D-4CCB-AC7F-6AA7BB0FFBDB}"/>
    <cellStyle name="20% - Accent3 2 2 2 8" xfId="8755" xr:uid="{34DD1A3E-0F66-4897-BFA2-10CE711D7AB7}"/>
    <cellStyle name="20% - Accent3 2 2 3" xfId="588" xr:uid="{00000000-0005-0000-0000-000058010000}"/>
    <cellStyle name="20% - Accent3 2 2 3 2" xfId="2859" xr:uid="{00000000-0005-0000-0000-000059010000}"/>
    <cellStyle name="20% - Accent3 2 2 3 2 2" xfId="7081" xr:uid="{00000000-0005-0000-0000-00005A010000}"/>
    <cellStyle name="20% - Accent3 2 2 3 2 2 2" xfId="15531" xr:uid="{45E5A17B-F606-4FBA-AE6B-1B73A6ABA1DE}"/>
    <cellStyle name="20% - Accent3 2 2 3 2 3" xfId="11313" xr:uid="{72FFD13B-562F-4DDA-998E-A95A48F9EE32}"/>
    <cellStyle name="20% - Accent3 2 2 3 3" xfId="4936" xr:uid="{00000000-0005-0000-0000-00005B010000}"/>
    <cellStyle name="20% - Accent3 2 2 3 3 2" xfId="13386" xr:uid="{5B760CEE-D130-4F64-9FD5-F7E1B7CC2995}"/>
    <cellStyle name="20% - Accent3 2 2 3 4" xfId="9168" xr:uid="{761ED388-D1E6-4CCB-B4A4-22C45CAE203B}"/>
    <cellStyle name="20% - Accent3 2 2 4" xfId="1041" xr:uid="{00000000-0005-0000-0000-00005C010000}"/>
    <cellStyle name="20% - Accent3 2 2 4 2" xfId="3272" xr:uid="{00000000-0005-0000-0000-00005D010000}"/>
    <cellStyle name="20% - Accent3 2 2 4 2 2" xfId="7494" xr:uid="{00000000-0005-0000-0000-00005E010000}"/>
    <cellStyle name="20% - Accent3 2 2 4 2 2 2" xfId="15944" xr:uid="{F6D46B7D-4F60-45E0-88D8-7863DD5A8F39}"/>
    <cellStyle name="20% - Accent3 2 2 4 2 3" xfId="11726" xr:uid="{AC36F5B6-0A89-4048-8FA2-5ED5755BEC55}"/>
    <cellStyle name="20% - Accent3 2 2 4 3" xfId="5349" xr:uid="{00000000-0005-0000-0000-00005F010000}"/>
    <cellStyle name="20% - Accent3 2 2 4 3 2" xfId="13799" xr:uid="{05B01B7B-70D0-450D-9EE1-DA61312E20FB}"/>
    <cellStyle name="20% - Accent3 2 2 4 4" xfId="9581" xr:uid="{8AB31389-62F6-40C5-9F0F-40BE209195C0}"/>
    <cellStyle name="20% - Accent3 2 2 5" xfId="1455" xr:uid="{00000000-0005-0000-0000-000060010000}"/>
    <cellStyle name="20% - Accent3 2 2 5 2" xfId="3685" xr:uid="{00000000-0005-0000-0000-000061010000}"/>
    <cellStyle name="20% - Accent3 2 2 5 2 2" xfId="7907" xr:uid="{00000000-0005-0000-0000-000062010000}"/>
    <cellStyle name="20% - Accent3 2 2 5 2 2 2" xfId="16357" xr:uid="{0E840110-6427-4324-9B5F-D6818C6E5972}"/>
    <cellStyle name="20% - Accent3 2 2 5 2 3" xfId="12139" xr:uid="{BBBAA5C8-8042-4405-9D8B-E92341A5FEE4}"/>
    <cellStyle name="20% - Accent3 2 2 5 3" xfId="5762" xr:uid="{00000000-0005-0000-0000-000063010000}"/>
    <cellStyle name="20% - Accent3 2 2 5 3 2" xfId="14212" xr:uid="{4578E19C-938C-4CD9-BA8D-E55B1DD536C7}"/>
    <cellStyle name="20% - Accent3 2 2 5 4" xfId="9994" xr:uid="{B50C1517-46EB-4946-968E-FAA96432E011}"/>
    <cellStyle name="20% - Accent3 2 2 6" xfId="1869" xr:uid="{00000000-0005-0000-0000-000064010000}"/>
    <cellStyle name="20% - Accent3 2 2 6 2" xfId="4098" xr:uid="{00000000-0005-0000-0000-000065010000}"/>
    <cellStyle name="20% - Accent3 2 2 6 2 2" xfId="8320" xr:uid="{00000000-0005-0000-0000-000066010000}"/>
    <cellStyle name="20% - Accent3 2 2 6 2 2 2" xfId="16770" xr:uid="{F7095B90-5CE7-4F77-907F-884004F73023}"/>
    <cellStyle name="20% - Accent3 2 2 6 2 3" xfId="12552" xr:uid="{95BB23CA-1050-4C5F-B5D4-9044C6FD9A12}"/>
    <cellStyle name="20% - Accent3 2 2 6 3" xfId="6175" xr:uid="{00000000-0005-0000-0000-000067010000}"/>
    <cellStyle name="20% - Accent3 2 2 6 3 2" xfId="14625" xr:uid="{52935375-204B-49D8-B566-41F0EE837487}"/>
    <cellStyle name="20% - Accent3 2 2 6 4" xfId="10407" xr:uid="{50B83300-514D-4582-AA2B-C54A41032EE5}"/>
    <cellStyle name="20% - Accent3 2 2 7" xfId="2282" xr:uid="{00000000-0005-0000-0000-000068010000}"/>
    <cellStyle name="20% - Accent3 2 2 7 2" xfId="6588" xr:uid="{00000000-0005-0000-0000-000069010000}"/>
    <cellStyle name="20% - Accent3 2 2 7 2 2" xfId="15038" xr:uid="{51726B83-7400-4366-BFEF-68C05560071D}"/>
    <cellStyle name="20% - Accent3 2 2 7 3" xfId="10820" xr:uid="{37FFCFE2-728A-4804-82AD-7673FC66881F}"/>
    <cellStyle name="20% - Accent3 2 2 8" xfId="4522" xr:uid="{00000000-0005-0000-0000-00006A010000}"/>
    <cellStyle name="20% - Accent3 2 2 8 2" xfId="12972" xr:uid="{9E414F4A-B90B-4A11-8B58-F1F2F0AC8EFD}"/>
    <cellStyle name="20% - Accent3 2 2 9" xfId="8754" xr:uid="{8E1B45AB-2541-4A17-8272-9E57DEC697EB}"/>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2 2 2" xfId="15533" xr:uid="{EEC29636-D435-4011-AF08-CF7F3126F92E}"/>
    <cellStyle name="20% - Accent3 2 3 2 2 3" xfId="11315" xr:uid="{47538B66-DB3F-4B23-83AA-9625A9C15628}"/>
    <cellStyle name="20% - Accent3 2 3 2 3" xfId="4938" xr:uid="{00000000-0005-0000-0000-00006F010000}"/>
    <cellStyle name="20% - Accent3 2 3 2 3 2" xfId="13388" xr:uid="{074743E1-F7E9-4CB9-B2B1-ED659DC79D51}"/>
    <cellStyle name="20% - Accent3 2 3 2 4" xfId="9170" xr:uid="{7FADCE5A-6665-4680-B62D-0F061A9A3C78}"/>
    <cellStyle name="20% - Accent3 2 3 3" xfId="1043" xr:uid="{00000000-0005-0000-0000-000070010000}"/>
    <cellStyle name="20% - Accent3 2 3 3 2" xfId="3274" xr:uid="{00000000-0005-0000-0000-000071010000}"/>
    <cellStyle name="20% - Accent3 2 3 3 2 2" xfId="7496" xr:uid="{00000000-0005-0000-0000-000072010000}"/>
    <cellStyle name="20% - Accent3 2 3 3 2 2 2" xfId="15946" xr:uid="{1EA67788-09C3-4CC0-90FF-0B813A0FD06D}"/>
    <cellStyle name="20% - Accent3 2 3 3 2 3" xfId="11728" xr:uid="{94D5DB3F-ECF4-411B-9144-CF9AE5A675A5}"/>
    <cellStyle name="20% - Accent3 2 3 3 3" xfId="5351" xr:uid="{00000000-0005-0000-0000-000073010000}"/>
    <cellStyle name="20% - Accent3 2 3 3 3 2" xfId="13801" xr:uid="{21F7A8C0-976D-4B26-8B83-D4AC620F0896}"/>
    <cellStyle name="20% - Accent3 2 3 3 4" xfId="9583" xr:uid="{C8468D50-1C73-4E24-9169-EB39CA4FF598}"/>
    <cellStyle name="20% - Accent3 2 3 4" xfId="1457" xr:uid="{00000000-0005-0000-0000-000074010000}"/>
    <cellStyle name="20% - Accent3 2 3 4 2" xfId="3687" xr:uid="{00000000-0005-0000-0000-000075010000}"/>
    <cellStyle name="20% - Accent3 2 3 4 2 2" xfId="7909" xr:uid="{00000000-0005-0000-0000-000076010000}"/>
    <cellStyle name="20% - Accent3 2 3 4 2 2 2" xfId="16359" xr:uid="{1D8BD320-00E7-4956-A3CB-65D41B080BB9}"/>
    <cellStyle name="20% - Accent3 2 3 4 2 3" xfId="12141" xr:uid="{E14103BB-D941-4B1D-9428-87CC45FE2B08}"/>
    <cellStyle name="20% - Accent3 2 3 4 3" xfId="5764" xr:uid="{00000000-0005-0000-0000-000077010000}"/>
    <cellStyle name="20% - Accent3 2 3 4 3 2" xfId="14214" xr:uid="{EF69DFB3-6E84-42EC-BBE9-0D361710512E}"/>
    <cellStyle name="20% - Accent3 2 3 4 4" xfId="9996" xr:uid="{15014E3B-28BB-4A10-BAE6-3CDC91FFF853}"/>
    <cellStyle name="20% - Accent3 2 3 5" xfId="1871" xr:uid="{00000000-0005-0000-0000-000078010000}"/>
    <cellStyle name="20% - Accent3 2 3 5 2" xfId="4100" xr:uid="{00000000-0005-0000-0000-000079010000}"/>
    <cellStyle name="20% - Accent3 2 3 5 2 2" xfId="8322" xr:uid="{00000000-0005-0000-0000-00007A010000}"/>
    <cellStyle name="20% - Accent3 2 3 5 2 2 2" xfId="16772" xr:uid="{5C7D5D85-8760-4254-9A09-697AA6B36EFD}"/>
    <cellStyle name="20% - Accent3 2 3 5 2 3" xfId="12554" xr:uid="{80D9B0D3-27D6-4706-BEAD-6FC478FDB3D9}"/>
    <cellStyle name="20% - Accent3 2 3 5 3" xfId="6177" xr:uid="{00000000-0005-0000-0000-00007B010000}"/>
    <cellStyle name="20% - Accent3 2 3 5 3 2" xfId="14627" xr:uid="{DF1B3EE3-60AC-4738-8D54-A18DB36B326B}"/>
    <cellStyle name="20% - Accent3 2 3 5 4" xfId="10409" xr:uid="{3C1D67CC-720B-45C2-B97C-72A672CF19A8}"/>
    <cellStyle name="20% - Accent3 2 3 6" xfId="2284" xr:uid="{00000000-0005-0000-0000-00007C010000}"/>
    <cellStyle name="20% - Accent3 2 3 6 2" xfId="6590" xr:uid="{00000000-0005-0000-0000-00007D010000}"/>
    <cellStyle name="20% - Accent3 2 3 6 2 2" xfId="15040" xr:uid="{3AA77F6D-12F5-4971-B3D5-7F852B488D5C}"/>
    <cellStyle name="20% - Accent3 2 3 6 3" xfId="10822" xr:uid="{CD9D666E-9389-441C-BD23-96BF1EF4A3F5}"/>
    <cellStyle name="20% - Accent3 2 3 7" xfId="4524" xr:uid="{00000000-0005-0000-0000-00007E010000}"/>
    <cellStyle name="20% - Accent3 2 3 7 2" xfId="12974" xr:uid="{8D50CAE0-19DE-400B-8FCE-F4B07E65ED32}"/>
    <cellStyle name="20% - Accent3 2 3 8" xfId="8756" xr:uid="{E73D88C5-18F7-4990-8202-D98C4521114C}"/>
    <cellStyle name="20% - Accent3 2 4" xfId="587" xr:uid="{00000000-0005-0000-0000-00007F010000}"/>
    <cellStyle name="20% - Accent3 2 4 2" xfId="2858" xr:uid="{00000000-0005-0000-0000-000080010000}"/>
    <cellStyle name="20% - Accent3 2 4 2 2" xfId="7080" xr:uid="{00000000-0005-0000-0000-000081010000}"/>
    <cellStyle name="20% - Accent3 2 4 2 2 2" xfId="15530" xr:uid="{B6DC88A4-EB15-454A-8DBF-00C9606CAD12}"/>
    <cellStyle name="20% - Accent3 2 4 2 3" xfId="11312" xr:uid="{47C9DF93-FBE7-4E88-ACB5-C9B81F0C1151}"/>
    <cellStyle name="20% - Accent3 2 4 3" xfId="4935" xr:uid="{00000000-0005-0000-0000-000082010000}"/>
    <cellStyle name="20% - Accent3 2 4 3 2" xfId="13385" xr:uid="{DF367BD3-D4FF-4170-B999-9A1D41EB9254}"/>
    <cellStyle name="20% - Accent3 2 4 4" xfId="9167" xr:uid="{2CC4C2C3-6AC3-4396-821A-65D00CCB6CA7}"/>
    <cellStyle name="20% - Accent3 2 5" xfId="1040" xr:uid="{00000000-0005-0000-0000-000083010000}"/>
    <cellStyle name="20% - Accent3 2 5 2" xfId="3271" xr:uid="{00000000-0005-0000-0000-000084010000}"/>
    <cellStyle name="20% - Accent3 2 5 2 2" xfId="7493" xr:uid="{00000000-0005-0000-0000-000085010000}"/>
    <cellStyle name="20% - Accent3 2 5 2 2 2" xfId="15943" xr:uid="{DCA7AAE9-C9B6-43FB-AE0F-AD4136207442}"/>
    <cellStyle name="20% - Accent3 2 5 2 3" xfId="11725" xr:uid="{7D38BE9D-CAEF-473D-ACF0-2B1C8434EB03}"/>
    <cellStyle name="20% - Accent3 2 5 3" xfId="5348" xr:uid="{00000000-0005-0000-0000-000086010000}"/>
    <cellStyle name="20% - Accent3 2 5 3 2" xfId="13798" xr:uid="{12BCA578-121B-4AF8-B0F3-2D7CB0E9794A}"/>
    <cellStyle name="20% - Accent3 2 5 4" xfId="9580" xr:uid="{0D9A9A31-92CD-499B-BA6C-D202CEBA6278}"/>
    <cellStyle name="20% - Accent3 2 6" xfId="1454" xr:uid="{00000000-0005-0000-0000-000087010000}"/>
    <cellStyle name="20% - Accent3 2 6 2" xfId="3684" xr:uid="{00000000-0005-0000-0000-000088010000}"/>
    <cellStyle name="20% - Accent3 2 6 2 2" xfId="7906" xr:uid="{00000000-0005-0000-0000-000089010000}"/>
    <cellStyle name="20% - Accent3 2 6 2 2 2" xfId="16356" xr:uid="{453F0BA2-7A2C-4DBB-8BC6-2F0323B3EB95}"/>
    <cellStyle name="20% - Accent3 2 6 2 3" xfId="12138" xr:uid="{E9E16D09-60E2-4991-836E-36DE7A875A9C}"/>
    <cellStyle name="20% - Accent3 2 6 3" xfId="5761" xr:uid="{00000000-0005-0000-0000-00008A010000}"/>
    <cellStyle name="20% - Accent3 2 6 3 2" xfId="14211" xr:uid="{A9BFDBC2-F9FD-4D29-BDCC-03CD4990746A}"/>
    <cellStyle name="20% - Accent3 2 6 4" xfId="9993" xr:uid="{1996306B-2291-4B9A-9C93-764F69E3450F}"/>
    <cellStyle name="20% - Accent3 2 7" xfId="1868" xr:uid="{00000000-0005-0000-0000-00008B010000}"/>
    <cellStyle name="20% - Accent3 2 7 2" xfId="4097" xr:uid="{00000000-0005-0000-0000-00008C010000}"/>
    <cellStyle name="20% - Accent3 2 7 2 2" xfId="8319" xr:uid="{00000000-0005-0000-0000-00008D010000}"/>
    <cellStyle name="20% - Accent3 2 7 2 2 2" xfId="16769" xr:uid="{5F477FDA-64ED-4D38-9BAF-FB72F7BBB0CC}"/>
    <cellStyle name="20% - Accent3 2 7 2 3" xfId="12551" xr:uid="{FB459F1D-99A2-4428-A85F-03C05F7A0612}"/>
    <cellStyle name="20% - Accent3 2 7 3" xfId="6174" xr:uid="{00000000-0005-0000-0000-00008E010000}"/>
    <cellStyle name="20% - Accent3 2 7 3 2" xfId="14624" xr:uid="{C8FCC7F7-D915-4336-A2A6-E852BA2DA72A}"/>
    <cellStyle name="20% - Accent3 2 7 4" xfId="10406" xr:uid="{94815463-DB97-40F6-A407-C6A2A03905E3}"/>
    <cellStyle name="20% - Accent3 2 8" xfId="2281" xr:uid="{00000000-0005-0000-0000-00008F010000}"/>
    <cellStyle name="20% - Accent3 2 8 2" xfId="6587" xr:uid="{00000000-0005-0000-0000-000090010000}"/>
    <cellStyle name="20% - Accent3 2 8 2 2" xfId="15037" xr:uid="{4AA30A6D-9AE5-45E8-9ACB-6D1BCFE7BEA2}"/>
    <cellStyle name="20% - Accent3 2 8 3" xfId="10819" xr:uid="{0E576BF8-F2E1-4064-81D7-8C629CDF3E93}"/>
    <cellStyle name="20% - Accent3 2 9" xfId="4521" xr:uid="{00000000-0005-0000-0000-000091010000}"/>
    <cellStyle name="20% - Accent3 2 9 2" xfId="12971" xr:uid="{176D833E-E2F7-4C26-816A-C9918790AB55}"/>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2 2 2" xfId="15535" xr:uid="{F657495E-E12D-4F6E-9AF6-5E2E5A6D1F84}"/>
    <cellStyle name="20% - Accent3 3 2 2 2 3" xfId="11317" xr:uid="{E7D2B3DD-6FA9-495C-B2E1-38932D4572E3}"/>
    <cellStyle name="20% - Accent3 3 2 2 3" xfId="4940" xr:uid="{00000000-0005-0000-0000-000097010000}"/>
    <cellStyle name="20% - Accent3 3 2 2 3 2" xfId="13390" xr:uid="{97E8D7B8-3870-4090-BB68-58295CC112C0}"/>
    <cellStyle name="20% - Accent3 3 2 2 4" xfId="9172" xr:uid="{A9444C16-F3B0-40B9-9144-523118D891C8}"/>
    <cellStyle name="20% - Accent3 3 2 3" xfId="1045" xr:uid="{00000000-0005-0000-0000-000098010000}"/>
    <cellStyle name="20% - Accent3 3 2 3 2" xfId="3276" xr:uid="{00000000-0005-0000-0000-000099010000}"/>
    <cellStyle name="20% - Accent3 3 2 3 2 2" xfId="7498" xr:uid="{00000000-0005-0000-0000-00009A010000}"/>
    <cellStyle name="20% - Accent3 3 2 3 2 2 2" xfId="15948" xr:uid="{075420C2-20C5-4CF2-99FD-76B41A7235A8}"/>
    <cellStyle name="20% - Accent3 3 2 3 2 3" xfId="11730" xr:uid="{2E1A2A97-1C1D-427E-B45C-3C5EB17593BF}"/>
    <cellStyle name="20% - Accent3 3 2 3 3" xfId="5353" xr:uid="{00000000-0005-0000-0000-00009B010000}"/>
    <cellStyle name="20% - Accent3 3 2 3 3 2" xfId="13803" xr:uid="{498DE3E3-2738-4EB4-9B98-05880BB2B3EC}"/>
    <cellStyle name="20% - Accent3 3 2 3 4" xfId="9585" xr:uid="{4EF3BA0C-6EEC-4BB9-BBD2-21ADD8D06F71}"/>
    <cellStyle name="20% - Accent3 3 2 4" xfId="1459" xr:uid="{00000000-0005-0000-0000-00009C010000}"/>
    <cellStyle name="20% - Accent3 3 2 4 2" xfId="3689" xr:uid="{00000000-0005-0000-0000-00009D010000}"/>
    <cellStyle name="20% - Accent3 3 2 4 2 2" xfId="7911" xr:uid="{00000000-0005-0000-0000-00009E010000}"/>
    <cellStyle name="20% - Accent3 3 2 4 2 2 2" xfId="16361" xr:uid="{82DD0D48-846A-4134-8547-928A88DC5325}"/>
    <cellStyle name="20% - Accent3 3 2 4 2 3" xfId="12143" xr:uid="{058503B3-1F95-4EFA-86C4-B8746622F6E5}"/>
    <cellStyle name="20% - Accent3 3 2 4 3" xfId="5766" xr:uid="{00000000-0005-0000-0000-00009F010000}"/>
    <cellStyle name="20% - Accent3 3 2 4 3 2" xfId="14216" xr:uid="{10C5953C-1463-4CE7-A3C6-E109D420A2E9}"/>
    <cellStyle name="20% - Accent3 3 2 4 4" xfId="9998" xr:uid="{7119A42B-CAAE-43AF-B9FB-FDD901BFD0EB}"/>
    <cellStyle name="20% - Accent3 3 2 5" xfId="1873" xr:uid="{00000000-0005-0000-0000-0000A0010000}"/>
    <cellStyle name="20% - Accent3 3 2 5 2" xfId="4102" xr:uid="{00000000-0005-0000-0000-0000A1010000}"/>
    <cellStyle name="20% - Accent3 3 2 5 2 2" xfId="8324" xr:uid="{00000000-0005-0000-0000-0000A2010000}"/>
    <cellStyle name="20% - Accent3 3 2 5 2 2 2" xfId="16774" xr:uid="{A1F20CB8-E8CB-4859-956E-43F2F805B8E1}"/>
    <cellStyle name="20% - Accent3 3 2 5 2 3" xfId="12556" xr:uid="{E959C335-022F-420D-B45D-82F70D337E5A}"/>
    <cellStyle name="20% - Accent3 3 2 5 3" xfId="6179" xr:uid="{00000000-0005-0000-0000-0000A3010000}"/>
    <cellStyle name="20% - Accent3 3 2 5 3 2" xfId="14629" xr:uid="{274CE344-9393-444F-8042-CBCDFF6483E8}"/>
    <cellStyle name="20% - Accent3 3 2 5 4" xfId="10411" xr:uid="{81922897-252A-475A-B629-F114DEDD9B54}"/>
    <cellStyle name="20% - Accent3 3 2 6" xfId="2286" xr:uid="{00000000-0005-0000-0000-0000A4010000}"/>
    <cellStyle name="20% - Accent3 3 2 6 2" xfId="6592" xr:uid="{00000000-0005-0000-0000-0000A5010000}"/>
    <cellStyle name="20% - Accent3 3 2 6 2 2" xfId="15042" xr:uid="{6EB78A1D-2E41-4579-B40B-BE146934152C}"/>
    <cellStyle name="20% - Accent3 3 2 6 3" xfId="10824" xr:uid="{BD3BD419-1051-4B29-8C41-30E92863EDCD}"/>
    <cellStyle name="20% - Accent3 3 2 7" xfId="4526" xr:uid="{00000000-0005-0000-0000-0000A6010000}"/>
    <cellStyle name="20% - Accent3 3 2 7 2" xfId="12976" xr:uid="{A0E33E3C-30D1-426C-A1D6-632ADD2580CF}"/>
    <cellStyle name="20% - Accent3 3 2 8" xfId="8758" xr:uid="{B18FB092-5122-4E1F-8342-508FE7D141D7}"/>
    <cellStyle name="20% - Accent3 3 3" xfId="591" xr:uid="{00000000-0005-0000-0000-0000A7010000}"/>
    <cellStyle name="20% - Accent3 3 3 2" xfId="2862" xr:uid="{00000000-0005-0000-0000-0000A8010000}"/>
    <cellStyle name="20% - Accent3 3 3 2 2" xfId="7084" xr:uid="{00000000-0005-0000-0000-0000A9010000}"/>
    <cellStyle name="20% - Accent3 3 3 2 2 2" xfId="15534" xr:uid="{80B0119C-960F-46D3-BC0C-F8D0AB8157FE}"/>
    <cellStyle name="20% - Accent3 3 3 2 3" xfId="11316" xr:uid="{69EE3FB7-5D53-4FA7-8127-69AE4BC17B38}"/>
    <cellStyle name="20% - Accent3 3 3 3" xfId="4939" xr:uid="{00000000-0005-0000-0000-0000AA010000}"/>
    <cellStyle name="20% - Accent3 3 3 3 2" xfId="13389" xr:uid="{970EAA59-CB1E-43EB-844A-03EB395E5F4C}"/>
    <cellStyle name="20% - Accent3 3 3 4" xfId="9171" xr:uid="{115F9D99-30D4-4D77-94BC-BD8E5D351B74}"/>
    <cellStyle name="20% - Accent3 3 4" xfId="1044" xr:uid="{00000000-0005-0000-0000-0000AB010000}"/>
    <cellStyle name="20% - Accent3 3 4 2" xfId="3275" xr:uid="{00000000-0005-0000-0000-0000AC010000}"/>
    <cellStyle name="20% - Accent3 3 4 2 2" xfId="7497" xr:uid="{00000000-0005-0000-0000-0000AD010000}"/>
    <cellStyle name="20% - Accent3 3 4 2 2 2" xfId="15947" xr:uid="{48AE6C23-A1F1-4051-9F23-B18C060F9A08}"/>
    <cellStyle name="20% - Accent3 3 4 2 3" xfId="11729" xr:uid="{3BC3111A-F230-484D-B3CE-F2FB31CAF694}"/>
    <cellStyle name="20% - Accent3 3 4 3" xfId="5352" xr:uid="{00000000-0005-0000-0000-0000AE010000}"/>
    <cellStyle name="20% - Accent3 3 4 3 2" xfId="13802" xr:uid="{F7FEA431-844B-4E8E-82AB-C8F905A1ABEF}"/>
    <cellStyle name="20% - Accent3 3 4 4" xfId="9584" xr:uid="{38C154E7-C575-4B43-BC41-F07111E397D3}"/>
    <cellStyle name="20% - Accent3 3 5" xfId="1458" xr:uid="{00000000-0005-0000-0000-0000AF010000}"/>
    <cellStyle name="20% - Accent3 3 5 2" xfId="3688" xr:uid="{00000000-0005-0000-0000-0000B0010000}"/>
    <cellStyle name="20% - Accent3 3 5 2 2" xfId="7910" xr:uid="{00000000-0005-0000-0000-0000B1010000}"/>
    <cellStyle name="20% - Accent3 3 5 2 2 2" xfId="16360" xr:uid="{8575770B-77A2-49ED-AE87-7EEA9B3CD854}"/>
    <cellStyle name="20% - Accent3 3 5 2 3" xfId="12142" xr:uid="{E675711C-E66A-40A6-8AFE-4EF678A9F8F7}"/>
    <cellStyle name="20% - Accent3 3 5 3" xfId="5765" xr:uid="{00000000-0005-0000-0000-0000B2010000}"/>
    <cellStyle name="20% - Accent3 3 5 3 2" xfId="14215" xr:uid="{A3AB3274-9346-4B10-B2A0-510BF5EF343A}"/>
    <cellStyle name="20% - Accent3 3 5 4" xfId="9997" xr:uid="{088E4975-724C-4413-90B6-2A0DEC7EC356}"/>
    <cellStyle name="20% - Accent3 3 6" xfId="1872" xr:uid="{00000000-0005-0000-0000-0000B3010000}"/>
    <cellStyle name="20% - Accent3 3 6 2" xfId="4101" xr:uid="{00000000-0005-0000-0000-0000B4010000}"/>
    <cellStyle name="20% - Accent3 3 6 2 2" xfId="8323" xr:uid="{00000000-0005-0000-0000-0000B5010000}"/>
    <cellStyle name="20% - Accent3 3 6 2 2 2" xfId="16773" xr:uid="{3BE3CD20-31A8-4955-8A27-9093B661AF2A}"/>
    <cellStyle name="20% - Accent3 3 6 2 3" xfId="12555" xr:uid="{9D74754D-1F75-49F0-9AD1-23CF0981ECA2}"/>
    <cellStyle name="20% - Accent3 3 6 3" xfId="6178" xr:uid="{00000000-0005-0000-0000-0000B6010000}"/>
    <cellStyle name="20% - Accent3 3 6 3 2" xfId="14628" xr:uid="{3907DE6C-21FD-4839-ABFD-94EA2ED881D4}"/>
    <cellStyle name="20% - Accent3 3 6 4" xfId="10410" xr:uid="{A7C859C1-3DDB-4E1C-9BA2-46242439ED4B}"/>
    <cellStyle name="20% - Accent3 3 7" xfId="2285" xr:uid="{00000000-0005-0000-0000-0000B7010000}"/>
    <cellStyle name="20% - Accent3 3 7 2" xfId="6591" xr:uid="{00000000-0005-0000-0000-0000B8010000}"/>
    <cellStyle name="20% - Accent3 3 7 2 2" xfId="15041" xr:uid="{BFB0F44B-3DBE-4D9D-8BF0-E9762B52F824}"/>
    <cellStyle name="20% - Accent3 3 7 3" xfId="10823" xr:uid="{67F18C07-F948-4759-A0D3-00ACC4227ED4}"/>
    <cellStyle name="20% - Accent3 3 8" xfId="4525" xr:uid="{00000000-0005-0000-0000-0000B9010000}"/>
    <cellStyle name="20% - Accent3 3 8 2" xfId="12975" xr:uid="{79E6895A-B2F5-4B8D-B0BC-8A2CDF52EDE9}"/>
    <cellStyle name="20% - Accent3 3 9" xfId="8757" xr:uid="{B0073353-D721-4854-8985-87257911CFDE}"/>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2 2 2" xfId="15536" xr:uid="{3707AAB5-0F63-41A2-A75D-737049298C39}"/>
    <cellStyle name="20% - Accent3 4 2 2 3" xfId="11318" xr:uid="{25D5DF54-E578-4F1A-A8B4-88A0395EE339}"/>
    <cellStyle name="20% - Accent3 4 2 3" xfId="4941" xr:uid="{00000000-0005-0000-0000-0000BE010000}"/>
    <cellStyle name="20% - Accent3 4 2 3 2" xfId="13391" xr:uid="{0B7ADDAE-2387-48BC-B31E-56D8025E02D0}"/>
    <cellStyle name="20% - Accent3 4 2 4" xfId="9173" xr:uid="{9E7297A7-A581-4D72-836B-70616BF19B36}"/>
    <cellStyle name="20% - Accent3 4 3" xfId="1046" xr:uid="{00000000-0005-0000-0000-0000BF010000}"/>
    <cellStyle name="20% - Accent3 4 3 2" xfId="3277" xr:uid="{00000000-0005-0000-0000-0000C0010000}"/>
    <cellStyle name="20% - Accent3 4 3 2 2" xfId="7499" xr:uid="{00000000-0005-0000-0000-0000C1010000}"/>
    <cellStyle name="20% - Accent3 4 3 2 2 2" xfId="15949" xr:uid="{DFAD876E-66A7-4845-B4A6-26AB29BB8A9F}"/>
    <cellStyle name="20% - Accent3 4 3 2 3" xfId="11731" xr:uid="{01AA7A1D-79A8-49FB-915E-3CFE395BA56B}"/>
    <cellStyle name="20% - Accent3 4 3 3" xfId="5354" xr:uid="{00000000-0005-0000-0000-0000C2010000}"/>
    <cellStyle name="20% - Accent3 4 3 3 2" xfId="13804" xr:uid="{660A09F1-291C-4CDF-91A2-BB19CA3B76BD}"/>
    <cellStyle name="20% - Accent3 4 3 4" xfId="9586" xr:uid="{ED2DDC93-63E7-47FE-8E64-C7C982B96A5C}"/>
    <cellStyle name="20% - Accent3 4 4" xfId="1460" xr:uid="{00000000-0005-0000-0000-0000C3010000}"/>
    <cellStyle name="20% - Accent3 4 4 2" xfId="3690" xr:uid="{00000000-0005-0000-0000-0000C4010000}"/>
    <cellStyle name="20% - Accent3 4 4 2 2" xfId="7912" xr:uid="{00000000-0005-0000-0000-0000C5010000}"/>
    <cellStyle name="20% - Accent3 4 4 2 2 2" xfId="16362" xr:uid="{64021A0A-CAEB-499F-A38E-85FD18D7C130}"/>
    <cellStyle name="20% - Accent3 4 4 2 3" xfId="12144" xr:uid="{98D3BC2A-327B-44EB-A260-D2B8D945D21A}"/>
    <cellStyle name="20% - Accent3 4 4 3" xfId="5767" xr:uid="{00000000-0005-0000-0000-0000C6010000}"/>
    <cellStyle name="20% - Accent3 4 4 3 2" xfId="14217" xr:uid="{C655664E-5700-4833-A43F-A085177E260A}"/>
    <cellStyle name="20% - Accent3 4 4 4" xfId="9999" xr:uid="{3D82D93B-EBA2-4AA8-9873-1C24BEDC8DBF}"/>
    <cellStyle name="20% - Accent3 4 5" xfId="1874" xr:uid="{00000000-0005-0000-0000-0000C7010000}"/>
    <cellStyle name="20% - Accent3 4 5 2" xfId="4103" xr:uid="{00000000-0005-0000-0000-0000C8010000}"/>
    <cellStyle name="20% - Accent3 4 5 2 2" xfId="8325" xr:uid="{00000000-0005-0000-0000-0000C9010000}"/>
    <cellStyle name="20% - Accent3 4 5 2 2 2" xfId="16775" xr:uid="{390FF18B-02F5-4A25-BC7A-11CD052ED11F}"/>
    <cellStyle name="20% - Accent3 4 5 2 3" xfId="12557" xr:uid="{ACC15740-BD98-4480-9E05-3EE94DB7CB67}"/>
    <cellStyle name="20% - Accent3 4 5 3" xfId="6180" xr:uid="{00000000-0005-0000-0000-0000CA010000}"/>
    <cellStyle name="20% - Accent3 4 5 3 2" xfId="14630" xr:uid="{B5899087-CC56-4542-8B3B-F7BE18680A33}"/>
    <cellStyle name="20% - Accent3 4 5 4" xfId="10412" xr:uid="{69BC4447-8166-47CD-8EFC-9C568DBF614A}"/>
    <cellStyle name="20% - Accent3 4 6" xfId="2287" xr:uid="{00000000-0005-0000-0000-0000CB010000}"/>
    <cellStyle name="20% - Accent3 4 6 2" xfId="6593" xr:uid="{00000000-0005-0000-0000-0000CC010000}"/>
    <cellStyle name="20% - Accent3 4 6 2 2" xfId="15043" xr:uid="{1639C53B-696F-4FC6-B445-EB171DA3C28B}"/>
    <cellStyle name="20% - Accent3 4 6 3" xfId="10825" xr:uid="{86139003-55E1-4EDF-BFFD-4C009B11E527}"/>
    <cellStyle name="20% - Accent3 4 7" xfId="4527" xr:uid="{00000000-0005-0000-0000-0000CD010000}"/>
    <cellStyle name="20% - Accent3 4 7 2" xfId="12977" xr:uid="{31D51AB9-A2FD-4EA1-8880-3FCE215199C3}"/>
    <cellStyle name="20% - Accent3 4 8" xfId="8759" xr:uid="{42C1F704-39A3-4EB6-842C-D32A4355F9C8}"/>
    <cellStyle name="20% - Accent3 5" xfId="586" xr:uid="{00000000-0005-0000-0000-0000CE010000}"/>
    <cellStyle name="20% - Accent3 5 2" xfId="2857" xr:uid="{00000000-0005-0000-0000-0000CF010000}"/>
    <cellStyle name="20% - Accent3 5 2 2" xfId="7079" xr:uid="{00000000-0005-0000-0000-0000D0010000}"/>
    <cellStyle name="20% - Accent3 5 2 2 2" xfId="15529" xr:uid="{CD23A183-7B09-4718-B8F6-0AE99CBB507C}"/>
    <cellStyle name="20% - Accent3 5 2 3" xfId="11311" xr:uid="{D67539B3-A4E1-4995-BB6D-67CB647B7B8B}"/>
    <cellStyle name="20% - Accent3 5 3" xfId="4934" xr:uid="{00000000-0005-0000-0000-0000D1010000}"/>
    <cellStyle name="20% - Accent3 5 3 2" xfId="13384" xr:uid="{8CADD55E-364B-4025-8ECC-576200B1FBE7}"/>
    <cellStyle name="20% - Accent3 5 4" xfId="9166" xr:uid="{EAB2EC5B-477B-45C9-A0E0-548AC3159D76}"/>
    <cellStyle name="20% - Accent3 6" xfId="1039" xr:uid="{00000000-0005-0000-0000-0000D2010000}"/>
    <cellStyle name="20% - Accent3 6 2" xfId="3270" xr:uid="{00000000-0005-0000-0000-0000D3010000}"/>
    <cellStyle name="20% - Accent3 6 2 2" xfId="7492" xr:uid="{00000000-0005-0000-0000-0000D4010000}"/>
    <cellStyle name="20% - Accent3 6 2 2 2" xfId="15942" xr:uid="{D8C17DF0-FAF3-4B6E-85ED-F1BA3EBDDA85}"/>
    <cellStyle name="20% - Accent3 6 2 3" xfId="11724" xr:uid="{F024B99F-4D5A-44B7-9DC4-1A9BB2F6003D}"/>
    <cellStyle name="20% - Accent3 6 3" xfId="5347" xr:uid="{00000000-0005-0000-0000-0000D5010000}"/>
    <cellStyle name="20% - Accent3 6 3 2" xfId="13797" xr:uid="{4880257A-23B0-43B2-98A6-02F97046A3E6}"/>
    <cellStyle name="20% - Accent3 6 4" xfId="9579" xr:uid="{2D42582C-7A35-453C-B932-5D1F1984A9E1}"/>
    <cellStyle name="20% - Accent3 7" xfId="1453" xr:uid="{00000000-0005-0000-0000-0000D6010000}"/>
    <cellStyle name="20% - Accent3 7 2" xfId="3683" xr:uid="{00000000-0005-0000-0000-0000D7010000}"/>
    <cellStyle name="20% - Accent3 7 2 2" xfId="7905" xr:uid="{00000000-0005-0000-0000-0000D8010000}"/>
    <cellStyle name="20% - Accent3 7 2 2 2" xfId="16355" xr:uid="{4535D53C-EDEB-49D7-9DF4-BD7764821043}"/>
    <cellStyle name="20% - Accent3 7 2 3" xfId="12137" xr:uid="{0AA05E27-756F-480C-9492-C656D723C334}"/>
    <cellStyle name="20% - Accent3 7 3" xfId="5760" xr:uid="{00000000-0005-0000-0000-0000D9010000}"/>
    <cellStyle name="20% - Accent3 7 3 2" xfId="14210" xr:uid="{0BAD59D1-8BAD-4FFD-A841-0F1BB9175123}"/>
    <cellStyle name="20% - Accent3 7 4" xfId="9992" xr:uid="{46BEF1A1-7E26-4CB1-BDE5-6BB3647404AE}"/>
    <cellStyle name="20% - Accent3 8" xfId="1867" xr:uid="{00000000-0005-0000-0000-0000DA010000}"/>
    <cellStyle name="20% - Accent3 8 2" xfId="4096" xr:uid="{00000000-0005-0000-0000-0000DB010000}"/>
    <cellStyle name="20% - Accent3 8 2 2" xfId="8318" xr:uid="{00000000-0005-0000-0000-0000DC010000}"/>
    <cellStyle name="20% - Accent3 8 2 2 2" xfId="16768" xr:uid="{B24B646D-3DC4-4B39-9BCA-35C44E301CEB}"/>
    <cellStyle name="20% - Accent3 8 2 3" xfId="12550" xr:uid="{6E790154-E5E5-47F4-9F32-F55AED4CEDDE}"/>
    <cellStyle name="20% - Accent3 8 3" xfId="6173" xr:uid="{00000000-0005-0000-0000-0000DD010000}"/>
    <cellStyle name="20% - Accent3 8 3 2" xfId="14623" xr:uid="{62FAC20D-318D-49C0-A2C5-05C70BEE89A2}"/>
    <cellStyle name="20% - Accent3 8 4" xfId="10405" xr:uid="{81E93C60-C212-490B-A38C-3B2D6EA74A1A}"/>
    <cellStyle name="20% - Accent3 9" xfId="2280" xr:uid="{00000000-0005-0000-0000-0000DE010000}"/>
    <cellStyle name="20% - Accent3 9 2" xfId="6586" xr:uid="{00000000-0005-0000-0000-0000DF010000}"/>
    <cellStyle name="20% - Accent3 9 2 2" xfId="15036" xr:uid="{5CC49042-4224-4362-AA0F-C01AE3B5A5E1}"/>
    <cellStyle name="20% - Accent3 9 3" xfId="10818" xr:uid="{E5E1E6D1-6DB5-4CC2-AD96-1287B38C564A}"/>
    <cellStyle name="20% - Accent4" xfId="25" builtinId="42" customBuiltin="1"/>
    <cellStyle name="20% - Accent4 10" xfId="4528" xr:uid="{00000000-0005-0000-0000-0000E1010000}"/>
    <cellStyle name="20% - Accent4 10 2" xfId="12978" xr:uid="{75158761-2AB3-4CB6-8D0F-0540E846ACDD}"/>
    <cellStyle name="20% - Accent4 11" xfId="8760" xr:uid="{9721801D-FC34-4DBB-B272-1BC3312804B3}"/>
    <cellStyle name="20% - Accent4 2" xfId="26" xr:uid="{00000000-0005-0000-0000-0000E2010000}"/>
    <cellStyle name="20% - Accent4 2 10" xfId="8761" xr:uid="{93A958C1-AC45-427C-AAA7-9B583F6587F6}"/>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2 2 2" xfId="15540" xr:uid="{6963D2EF-FBDE-4B3F-A9AC-0E5025EB37FE}"/>
    <cellStyle name="20% - Accent4 2 2 2 2 2 3" xfId="11322" xr:uid="{FCED979C-1F8E-4EC9-9A06-D38980DCCB78}"/>
    <cellStyle name="20% - Accent4 2 2 2 2 3" xfId="4945" xr:uid="{00000000-0005-0000-0000-0000E8010000}"/>
    <cellStyle name="20% - Accent4 2 2 2 2 3 2" xfId="13395" xr:uid="{7F243B89-47AD-42AB-9B96-D47733D46FF7}"/>
    <cellStyle name="20% - Accent4 2 2 2 2 4" xfId="9177" xr:uid="{3F88812C-5AFE-4AC0-B555-8383E2579748}"/>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2 2 2" xfId="15953" xr:uid="{4F82BB42-8423-429C-AFD1-DB53BF7E7319}"/>
    <cellStyle name="20% - Accent4 2 2 2 3 2 3" xfId="11735" xr:uid="{2B914089-766F-4F84-9695-6DCD697CC762}"/>
    <cellStyle name="20% - Accent4 2 2 2 3 3" xfId="5358" xr:uid="{00000000-0005-0000-0000-0000EC010000}"/>
    <cellStyle name="20% - Accent4 2 2 2 3 3 2" xfId="13808" xr:uid="{2C51DFB7-D02D-45F0-BD78-D8354E810E94}"/>
    <cellStyle name="20% - Accent4 2 2 2 3 4" xfId="9590" xr:uid="{EF6014D3-28D1-4304-892E-C270C92E5E5D}"/>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2 2 2" xfId="16366" xr:uid="{768FAE85-4223-4338-9FF0-8552173E1590}"/>
    <cellStyle name="20% - Accent4 2 2 2 4 2 3" xfId="12148" xr:uid="{F7831417-32F8-4AE9-A1AE-423A797D2314}"/>
    <cellStyle name="20% - Accent4 2 2 2 4 3" xfId="5771" xr:uid="{00000000-0005-0000-0000-0000F0010000}"/>
    <cellStyle name="20% - Accent4 2 2 2 4 3 2" xfId="14221" xr:uid="{0122E2D8-2D4B-40F5-9A89-D7519638E197}"/>
    <cellStyle name="20% - Accent4 2 2 2 4 4" xfId="10003" xr:uid="{CA6B8850-2842-4461-A179-F97159D3372C}"/>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2 2 2" xfId="16779" xr:uid="{B4DA4678-84CF-456E-9B98-BE5982E034C8}"/>
    <cellStyle name="20% - Accent4 2 2 2 5 2 3" xfId="12561" xr:uid="{F67D199E-4E82-4F55-8E83-83638E68FA40}"/>
    <cellStyle name="20% - Accent4 2 2 2 5 3" xfId="6184" xr:uid="{00000000-0005-0000-0000-0000F4010000}"/>
    <cellStyle name="20% - Accent4 2 2 2 5 3 2" xfId="14634" xr:uid="{EE1797B6-95B7-4166-BFF5-F3C26B7A99A3}"/>
    <cellStyle name="20% - Accent4 2 2 2 5 4" xfId="10416" xr:uid="{6DC5EDBC-721E-4237-9C7E-A4B2AA6CBA23}"/>
    <cellStyle name="20% - Accent4 2 2 2 6" xfId="2291" xr:uid="{00000000-0005-0000-0000-0000F5010000}"/>
    <cellStyle name="20% - Accent4 2 2 2 6 2" xfId="6597" xr:uid="{00000000-0005-0000-0000-0000F6010000}"/>
    <cellStyle name="20% - Accent4 2 2 2 6 2 2" xfId="15047" xr:uid="{78D4584E-21EB-4596-AFEE-6D9BD43B4D75}"/>
    <cellStyle name="20% - Accent4 2 2 2 6 3" xfId="10829" xr:uid="{14D1604E-1A13-4850-9E8E-FE718C9BE58C}"/>
    <cellStyle name="20% - Accent4 2 2 2 7" xfId="4531" xr:uid="{00000000-0005-0000-0000-0000F7010000}"/>
    <cellStyle name="20% - Accent4 2 2 2 7 2" xfId="12981" xr:uid="{6795032C-6D18-4C2A-AA18-63F4E6974510}"/>
    <cellStyle name="20% - Accent4 2 2 2 8" xfId="8763" xr:uid="{DC685961-F6F0-49D2-A99B-E4ED88AE7695}"/>
    <cellStyle name="20% - Accent4 2 2 3" xfId="596" xr:uid="{00000000-0005-0000-0000-0000F8010000}"/>
    <cellStyle name="20% - Accent4 2 2 3 2" xfId="2867" xr:uid="{00000000-0005-0000-0000-0000F9010000}"/>
    <cellStyle name="20% - Accent4 2 2 3 2 2" xfId="7089" xr:uid="{00000000-0005-0000-0000-0000FA010000}"/>
    <cellStyle name="20% - Accent4 2 2 3 2 2 2" xfId="15539" xr:uid="{E91CF557-FB3B-4832-8022-ABE99CFD585D}"/>
    <cellStyle name="20% - Accent4 2 2 3 2 3" xfId="11321" xr:uid="{D6FBC657-52C4-4CDC-9233-3E6DC3453F70}"/>
    <cellStyle name="20% - Accent4 2 2 3 3" xfId="4944" xr:uid="{00000000-0005-0000-0000-0000FB010000}"/>
    <cellStyle name="20% - Accent4 2 2 3 3 2" xfId="13394" xr:uid="{EDF50F36-7010-47AD-90C4-65C8983E71A8}"/>
    <cellStyle name="20% - Accent4 2 2 3 4" xfId="9176" xr:uid="{FB511BA2-6C3B-4F76-95BD-242E0F8EA553}"/>
    <cellStyle name="20% - Accent4 2 2 4" xfId="1049" xr:uid="{00000000-0005-0000-0000-0000FC010000}"/>
    <cellStyle name="20% - Accent4 2 2 4 2" xfId="3280" xr:uid="{00000000-0005-0000-0000-0000FD010000}"/>
    <cellStyle name="20% - Accent4 2 2 4 2 2" xfId="7502" xr:uid="{00000000-0005-0000-0000-0000FE010000}"/>
    <cellStyle name="20% - Accent4 2 2 4 2 2 2" xfId="15952" xr:uid="{AB054F89-EC51-4BD5-827D-4D45697EBC6B}"/>
    <cellStyle name="20% - Accent4 2 2 4 2 3" xfId="11734" xr:uid="{DBDC4967-504F-4337-AB00-18DD1C596791}"/>
    <cellStyle name="20% - Accent4 2 2 4 3" xfId="5357" xr:uid="{00000000-0005-0000-0000-0000FF010000}"/>
    <cellStyle name="20% - Accent4 2 2 4 3 2" xfId="13807" xr:uid="{92F694DB-0652-483F-94F1-721FAF0A64A1}"/>
    <cellStyle name="20% - Accent4 2 2 4 4" xfId="9589" xr:uid="{BE160DB9-DA32-4824-9D36-BEDEBE5F480E}"/>
    <cellStyle name="20% - Accent4 2 2 5" xfId="1463" xr:uid="{00000000-0005-0000-0000-000000020000}"/>
    <cellStyle name="20% - Accent4 2 2 5 2" xfId="3693" xr:uid="{00000000-0005-0000-0000-000001020000}"/>
    <cellStyle name="20% - Accent4 2 2 5 2 2" xfId="7915" xr:uid="{00000000-0005-0000-0000-000002020000}"/>
    <cellStyle name="20% - Accent4 2 2 5 2 2 2" xfId="16365" xr:uid="{4D61E499-6B2B-40F4-9B5D-B52CADF784F3}"/>
    <cellStyle name="20% - Accent4 2 2 5 2 3" xfId="12147" xr:uid="{AA845107-136A-4A65-8077-1CA96D0A6D70}"/>
    <cellStyle name="20% - Accent4 2 2 5 3" xfId="5770" xr:uid="{00000000-0005-0000-0000-000003020000}"/>
    <cellStyle name="20% - Accent4 2 2 5 3 2" xfId="14220" xr:uid="{1ABD7598-C703-4A53-84E5-4A14794743B2}"/>
    <cellStyle name="20% - Accent4 2 2 5 4" xfId="10002" xr:uid="{9EDD3A4E-5A9B-493F-A488-6C127EA76FE1}"/>
    <cellStyle name="20% - Accent4 2 2 6" xfId="1877" xr:uid="{00000000-0005-0000-0000-000004020000}"/>
    <cellStyle name="20% - Accent4 2 2 6 2" xfId="4106" xr:uid="{00000000-0005-0000-0000-000005020000}"/>
    <cellStyle name="20% - Accent4 2 2 6 2 2" xfId="8328" xr:uid="{00000000-0005-0000-0000-000006020000}"/>
    <cellStyle name="20% - Accent4 2 2 6 2 2 2" xfId="16778" xr:uid="{B025ED6E-DF0E-4164-980E-0A9250EC7223}"/>
    <cellStyle name="20% - Accent4 2 2 6 2 3" xfId="12560" xr:uid="{DDF12EC7-DBF4-44AD-8FF3-5F82FC393771}"/>
    <cellStyle name="20% - Accent4 2 2 6 3" xfId="6183" xr:uid="{00000000-0005-0000-0000-000007020000}"/>
    <cellStyle name="20% - Accent4 2 2 6 3 2" xfId="14633" xr:uid="{D76646F9-76B6-4C97-9F9D-4DEBAF0749B3}"/>
    <cellStyle name="20% - Accent4 2 2 6 4" xfId="10415" xr:uid="{ADC1CA53-A423-4E3E-BE25-8A46C8BD696B}"/>
    <cellStyle name="20% - Accent4 2 2 7" xfId="2290" xr:uid="{00000000-0005-0000-0000-000008020000}"/>
    <cellStyle name="20% - Accent4 2 2 7 2" xfId="6596" xr:uid="{00000000-0005-0000-0000-000009020000}"/>
    <cellStyle name="20% - Accent4 2 2 7 2 2" xfId="15046" xr:uid="{900302AC-4ADE-4BBA-91F4-1FD35950DC94}"/>
    <cellStyle name="20% - Accent4 2 2 7 3" xfId="10828" xr:uid="{01DCB5FF-B81A-4624-844E-6664B3086619}"/>
    <cellStyle name="20% - Accent4 2 2 8" xfId="4530" xr:uid="{00000000-0005-0000-0000-00000A020000}"/>
    <cellStyle name="20% - Accent4 2 2 8 2" xfId="12980" xr:uid="{7EC32BB1-437C-498C-A800-4751E057E8FE}"/>
    <cellStyle name="20% - Accent4 2 2 9" xfId="8762" xr:uid="{D11F95D9-9B25-4938-A4C1-35EB80713188}"/>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2 2 2" xfId="15541" xr:uid="{6564F930-61D8-4D26-8CFF-B8CD306C8C55}"/>
    <cellStyle name="20% - Accent4 2 3 2 2 3" xfId="11323" xr:uid="{6357FB52-BC42-4743-A455-70CBD9810DF2}"/>
    <cellStyle name="20% - Accent4 2 3 2 3" xfId="4946" xr:uid="{00000000-0005-0000-0000-00000F020000}"/>
    <cellStyle name="20% - Accent4 2 3 2 3 2" xfId="13396" xr:uid="{8B96AA86-6F67-4C81-99AF-35B85E91FE9A}"/>
    <cellStyle name="20% - Accent4 2 3 2 4" xfId="9178" xr:uid="{874A4373-FA5E-4558-B740-B065ABA67E2C}"/>
    <cellStyle name="20% - Accent4 2 3 3" xfId="1051" xr:uid="{00000000-0005-0000-0000-000010020000}"/>
    <cellStyle name="20% - Accent4 2 3 3 2" xfId="3282" xr:uid="{00000000-0005-0000-0000-000011020000}"/>
    <cellStyle name="20% - Accent4 2 3 3 2 2" xfId="7504" xr:uid="{00000000-0005-0000-0000-000012020000}"/>
    <cellStyle name="20% - Accent4 2 3 3 2 2 2" xfId="15954" xr:uid="{49355CE3-1EBC-4465-9EC5-8FCF0A0E39AA}"/>
    <cellStyle name="20% - Accent4 2 3 3 2 3" xfId="11736" xr:uid="{824CD33B-1086-4111-9C12-AAF55050645F}"/>
    <cellStyle name="20% - Accent4 2 3 3 3" xfId="5359" xr:uid="{00000000-0005-0000-0000-000013020000}"/>
    <cellStyle name="20% - Accent4 2 3 3 3 2" xfId="13809" xr:uid="{DD11E7AC-0644-422F-97C3-9CB530732A0F}"/>
    <cellStyle name="20% - Accent4 2 3 3 4" xfId="9591" xr:uid="{0E591AC7-F895-4B72-87C5-EECDF7B68B46}"/>
    <cellStyle name="20% - Accent4 2 3 4" xfId="1465" xr:uid="{00000000-0005-0000-0000-000014020000}"/>
    <cellStyle name="20% - Accent4 2 3 4 2" xfId="3695" xr:uid="{00000000-0005-0000-0000-000015020000}"/>
    <cellStyle name="20% - Accent4 2 3 4 2 2" xfId="7917" xr:uid="{00000000-0005-0000-0000-000016020000}"/>
    <cellStyle name="20% - Accent4 2 3 4 2 2 2" xfId="16367" xr:uid="{0ABE5E6B-1D84-4647-A934-A41C50662B98}"/>
    <cellStyle name="20% - Accent4 2 3 4 2 3" xfId="12149" xr:uid="{9CD1C93A-9074-43C6-9166-4E244EDFEE2F}"/>
    <cellStyle name="20% - Accent4 2 3 4 3" xfId="5772" xr:uid="{00000000-0005-0000-0000-000017020000}"/>
    <cellStyle name="20% - Accent4 2 3 4 3 2" xfId="14222" xr:uid="{45690C5B-538D-4346-A1D8-5AEB53EEC624}"/>
    <cellStyle name="20% - Accent4 2 3 4 4" xfId="10004" xr:uid="{F0E5D5F4-43BB-45F0-AF3C-F720B134EC7B}"/>
    <cellStyle name="20% - Accent4 2 3 5" xfId="1879" xr:uid="{00000000-0005-0000-0000-000018020000}"/>
    <cellStyle name="20% - Accent4 2 3 5 2" xfId="4108" xr:uid="{00000000-0005-0000-0000-000019020000}"/>
    <cellStyle name="20% - Accent4 2 3 5 2 2" xfId="8330" xr:uid="{00000000-0005-0000-0000-00001A020000}"/>
    <cellStyle name="20% - Accent4 2 3 5 2 2 2" xfId="16780" xr:uid="{98ECE2BF-12D0-4DDE-A150-BDEFC8C8BE94}"/>
    <cellStyle name="20% - Accent4 2 3 5 2 3" xfId="12562" xr:uid="{518B7E47-E138-41C0-92D6-EC679035CA6B}"/>
    <cellStyle name="20% - Accent4 2 3 5 3" xfId="6185" xr:uid="{00000000-0005-0000-0000-00001B020000}"/>
    <cellStyle name="20% - Accent4 2 3 5 3 2" xfId="14635" xr:uid="{A41DB2BB-B73B-44E8-9624-54ABE44E2B7E}"/>
    <cellStyle name="20% - Accent4 2 3 5 4" xfId="10417" xr:uid="{24734301-DFB6-42F3-9C5E-4DCFAF1A9D6E}"/>
    <cellStyle name="20% - Accent4 2 3 6" xfId="2292" xr:uid="{00000000-0005-0000-0000-00001C020000}"/>
    <cellStyle name="20% - Accent4 2 3 6 2" xfId="6598" xr:uid="{00000000-0005-0000-0000-00001D020000}"/>
    <cellStyle name="20% - Accent4 2 3 6 2 2" xfId="15048" xr:uid="{3F86363F-7167-4D6F-8C60-3DA3D3407515}"/>
    <cellStyle name="20% - Accent4 2 3 6 3" xfId="10830" xr:uid="{0B7627A8-D9AC-415A-BC7F-291EF6420E21}"/>
    <cellStyle name="20% - Accent4 2 3 7" xfId="4532" xr:uid="{00000000-0005-0000-0000-00001E020000}"/>
    <cellStyle name="20% - Accent4 2 3 7 2" xfId="12982" xr:uid="{CD35AC02-657D-43EB-A878-DB40D56C7090}"/>
    <cellStyle name="20% - Accent4 2 3 8" xfId="8764" xr:uid="{22CAC4D8-ECAC-4010-8343-17E67D789C98}"/>
    <cellStyle name="20% - Accent4 2 4" xfId="595" xr:uid="{00000000-0005-0000-0000-00001F020000}"/>
    <cellStyle name="20% - Accent4 2 4 2" xfId="2866" xr:uid="{00000000-0005-0000-0000-000020020000}"/>
    <cellStyle name="20% - Accent4 2 4 2 2" xfId="7088" xr:uid="{00000000-0005-0000-0000-000021020000}"/>
    <cellStyle name="20% - Accent4 2 4 2 2 2" xfId="15538" xr:uid="{21EDE474-82ED-497C-8A44-23BF8BEF481E}"/>
    <cellStyle name="20% - Accent4 2 4 2 3" xfId="11320" xr:uid="{538BB43F-3A7E-44E3-87EB-EAC3DBAAA6D6}"/>
    <cellStyle name="20% - Accent4 2 4 3" xfId="4943" xr:uid="{00000000-0005-0000-0000-000022020000}"/>
    <cellStyle name="20% - Accent4 2 4 3 2" xfId="13393" xr:uid="{26E6CDC5-29D6-4A4B-805C-7FD905CDF64C}"/>
    <cellStyle name="20% - Accent4 2 4 4" xfId="9175" xr:uid="{34FC25C6-7C0A-463D-A918-8B8D9109FF95}"/>
    <cellStyle name="20% - Accent4 2 5" xfId="1048" xr:uid="{00000000-0005-0000-0000-000023020000}"/>
    <cellStyle name="20% - Accent4 2 5 2" xfId="3279" xr:uid="{00000000-0005-0000-0000-000024020000}"/>
    <cellStyle name="20% - Accent4 2 5 2 2" xfId="7501" xr:uid="{00000000-0005-0000-0000-000025020000}"/>
    <cellStyle name="20% - Accent4 2 5 2 2 2" xfId="15951" xr:uid="{14422F92-B7A1-4D54-806B-3995F3F62E31}"/>
    <cellStyle name="20% - Accent4 2 5 2 3" xfId="11733" xr:uid="{7EAEA2A2-50E7-432A-9333-9B192E7358F0}"/>
    <cellStyle name="20% - Accent4 2 5 3" xfId="5356" xr:uid="{00000000-0005-0000-0000-000026020000}"/>
    <cellStyle name="20% - Accent4 2 5 3 2" xfId="13806" xr:uid="{4D69FB9F-6E47-4FE9-B2ED-74C8B9AC7F82}"/>
    <cellStyle name="20% - Accent4 2 5 4" xfId="9588" xr:uid="{27C2A105-A19B-445D-89BD-AFB4F14910D3}"/>
    <cellStyle name="20% - Accent4 2 6" xfId="1462" xr:uid="{00000000-0005-0000-0000-000027020000}"/>
    <cellStyle name="20% - Accent4 2 6 2" xfId="3692" xr:uid="{00000000-0005-0000-0000-000028020000}"/>
    <cellStyle name="20% - Accent4 2 6 2 2" xfId="7914" xr:uid="{00000000-0005-0000-0000-000029020000}"/>
    <cellStyle name="20% - Accent4 2 6 2 2 2" xfId="16364" xr:uid="{FF086BDF-D3FA-4410-833B-FEB47D425E66}"/>
    <cellStyle name="20% - Accent4 2 6 2 3" xfId="12146" xr:uid="{EF03BC2E-3011-4341-A8AE-D4C0FCAE454C}"/>
    <cellStyle name="20% - Accent4 2 6 3" xfId="5769" xr:uid="{00000000-0005-0000-0000-00002A020000}"/>
    <cellStyle name="20% - Accent4 2 6 3 2" xfId="14219" xr:uid="{DACFE58E-C50A-4A31-8B9C-607AD8093FC2}"/>
    <cellStyle name="20% - Accent4 2 6 4" xfId="10001" xr:uid="{359C08D3-4058-4329-8D6A-09177CB27284}"/>
    <cellStyle name="20% - Accent4 2 7" xfId="1876" xr:uid="{00000000-0005-0000-0000-00002B020000}"/>
    <cellStyle name="20% - Accent4 2 7 2" xfId="4105" xr:uid="{00000000-0005-0000-0000-00002C020000}"/>
    <cellStyle name="20% - Accent4 2 7 2 2" xfId="8327" xr:uid="{00000000-0005-0000-0000-00002D020000}"/>
    <cellStyle name="20% - Accent4 2 7 2 2 2" xfId="16777" xr:uid="{AEB189B2-F568-4B00-A1F9-E17362E3D74B}"/>
    <cellStyle name="20% - Accent4 2 7 2 3" xfId="12559" xr:uid="{990A35AE-3196-47EC-A9A6-77DBFA5C158E}"/>
    <cellStyle name="20% - Accent4 2 7 3" xfId="6182" xr:uid="{00000000-0005-0000-0000-00002E020000}"/>
    <cellStyle name="20% - Accent4 2 7 3 2" xfId="14632" xr:uid="{F160A800-C5FE-49EB-ABE1-DC90635317AD}"/>
    <cellStyle name="20% - Accent4 2 7 4" xfId="10414" xr:uid="{21895067-FA1E-425B-B5E0-6071CA3AAFBB}"/>
    <cellStyle name="20% - Accent4 2 8" xfId="2289" xr:uid="{00000000-0005-0000-0000-00002F020000}"/>
    <cellStyle name="20% - Accent4 2 8 2" xfId="6595" xr:uid="{00000000-0005-0000-0000-000030020000}"/>
    <cellStyle name="20% - Accent4 2 8 2 2" xfId="15045" xr:uid="{84C19108-43A5-465E-A38F-57978292B4F5}"/>
    <cellStyle name="20% - Accent4 2 8 3" xfId="10827" xr:uid="{4FA14E30-F2C2-481B-AB40-117D7FBFDEF4}"/>
    <cellStyle name="20% - Accent4 2 9" xfId="4529" xr:uid="{00000000-0005-0000-0000-000031020000}"/>
    <cellStyle name="20% - Accent4 2 9 2" xfId="12979" xr:uid="{16805635-BE9C-48BA-B477-CE7FFDFF84BE}"/>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2 2 2" xfId="15543" xr:uid="{BBB46EA7-9160-4CE6-8CD9-36903DD0B6BA}"/>
    <cellStyle name="20% - Accent4 3 2 2 2 3" xfId="11325" xr:uid="{675F733C-35F0-4738-9F3E-B7EB2F01EAA3}"/>
    <cellStyle name="20% - Accent4 3 2 2 3" xfId="4948" xr:uid="{00000000-0005-0000-0000-000037020000}"/>
    <cellStyle name="20% - Accent4 3 2 2 3 2" xfId="13398" xr:uid="{AE5F3F97-9B81-4045-816B-0F5F451B9812}"/>
    <cellStyle name="20% - Accent4 3 2 2 4" xfId="9180" xr:uid="{23912AC4-1761-4383-8D4A-F139FAE40EAA}"/>
    <cellStyle name="20% - Accent4 3 2 3" xfId="1053" xr:uid="{00000000-0005-0000-0000-000038020000}"/>
    <cellStyle name="20% - Accent4 3 2 3 2" xfId="3284" xr:uid="{00000000-0005-0000-0000-000039020000}"/>
    <cellStyle name="20% - Accent4 3 2 3 2 2" xfId="7506" xr:uid="{00000000-0005-0000-0000-00003A020000}"/>
    <cellStyle name="20% - Accent4 3 2 3 2 2 2" xfId="15956" xr:uid="{57EAF85D-E93B-4E2D-9097-B4717D1095B7}"/>
    <cellStyle name="20% - Accent4 3 2 3 2 3" xfId="11738" xr:uid="{13369F76-C278-4D7B-83FC-DAE37936A84C}"/>
    <cellStyle name="20% - Accent4 3 2 3 3" xfId="5361" xr:uid="{00000000-0005-0000-0000-00003B020000}"/>
    <cellStyle name="20% - Accent4 3 2 3 3 2" xfId="13811" xr:uid="{7A45ACFE-1B54-4CF3-A60E-72B41EE52362}"/>
    <cellStyle name="20% - Accent4 3 2 3 4" xfId="9593" xr:uid="{32055F20-416A-44BE-A2EF-5DF647B92086}"/>
    <cellStyle name="20% - Accent4 3 2 4" xfId="1467" xr:uid="{00000000-0005-0000-0000-00003C020000}"/>
    <cellStyle name="20% - Accent4 3 2 4 2" xfId="3697" xr:uid="{00000000-0005-0000-0000-00003D020000}"/>
    <cellStyle name="20% - Accent4 3 2 4 2 2" xfId="7919" xr:uid="{00000000-0005-0000-0000-00003E020000}"/>
    <cellStyle name="20% - Accent4 3 2 4 2 2 2" xfId="16369" xr:uid="{B83BF48E-11A6-41AE-92B0-330BF5A4F443}"/>
    <cellStyle name="20% - Accent4 3 2 4 2 3" xfId="12151" xr:uid="{05621635-1223-438C-B46C-00142299025E}"/>
    <cellStyle name="20% - Accent4 3 2 4 3" xfId="5774" xr:uid="{00000000-0005-0000-0000-00003F020000}"/>
    <cellStyle name="20% - Accent4 3 2 4 3 2" xfId="14224" xr:uid="{576E3C44-140E-424A-AA59-1C52DEA07A51}"/>
    <cellStyle name="20% - Accent4 3 2 4 4" xfId="10006" xr:uid="{9A21E832-BDBB-442E-89C7-F098997FE977}"/>
    <cellStyle name="20% - Accent4 3 2 5" xfId="1881" xr:uid="{00000000-0005-0000-0000-000040020000}"/>
    <cellStyle name="20% - Accent4 3 2 5 2" xfId="4110" xr:uid="{00000000-0005-0000-0000-000041020000}"/>
    <cellStyle name="20% - Accent4 3 2 5 2 2" xfId="8332" xr:uid="{00000000-0005-0000-0000-000042020000}"/>
    <cellStyle name="20% - Accent4 3 2 5 2 2 2" xfId="16782" xr:uid="{C3781F05-6193-471C-88F7-1725A6B46166}"/>
    <cellStyle name="20% - Accent4 3 2 5 2 3" xfId="12564" xr:uid="{1DD8D2A6-4F3C-4710-9AAE-A742C4A5F081}"/>
    <cellStyle name="20% - Accent4 3 2 5 3" xfId="6187" xr:uid="{00000000-0005-0000-0000-000043020000}"/>
    <cellStyle name="20% - Accent4 3 2 5 3 2" xfId="14637" xr:uid="{FDAFE318-8A1C-4916-96E1-344DC5A0EBA4}"/>
    <cellStyle name="20% - Accent4 3 2 5 4" xfId="10419" xr:uid="{35C48BC1-8F5E-485F-8235-C6E8C081CCF6}"/>
    <cellStyle name="20% - Accent4 3 2 6" xfId="2294" xr:uid="{00000000-0005-0000-0000-000044020000}"/>
    <cellStyle name="20% - Accent4 3 2 6 2" xfId="6600" xr:uid="{00000000-0005-0000-0000-000045020000}"/>
    <cellStyle name="20% - Accent4 3 2 6 2 2" xfId="15050" xr:uid="{4EBE22B7-22C2-4609-B3E4-5260387963F1}"/>
    <cellStyle name="20% - Accent4 3 2 6 3" xfId="10832" xr:uid="{8BAA41C9-5D46-4B69-8E40-D6A85CB41F9D}"/>
    <cellStyle name="20% - Accent4 3 2 7" xfId="4534" xr:uid="{00000000-0005-0000-0000-000046020000}"/>
    <cellStyle name="20% - Accent4 3 2 7 2" xfId="12984" xr:uid="{8C752138-59D8-414F-BFF3-A30DBE2AEEBA}"/>
    <cellStyle name="20% - Accent4 3 2 8" xfId="8766" xr:uid="{15D895D4-625F-46DD-95F0-333059E48229}"/>
    <cellStyle name="20% - Accent4 3 3" xfId="599" xr:uid="{00000000-0005-0000-0000-000047020000}"/>
    <cellStyle name="20% - Accent4 3 3 2" xfId="2870" xr:uid="{00000000-0005-0000-0000-000048020000}"/>
    <cellStyle name="20% - Accent4 3 3 2 2" xfId="7092" xr:uid="{00000000-0005-0000-0000-000049020000}"/>
    <cellStyle name="20% - Accent4 3 3 2 2 2" xfId="15542" xr:uid="{E4E8358A-A396-4A9B-95C7-A3250D4D9703}"/>
    <cellStyle name="20% - Accent4 3 3 2 3" xfId="11324" xr:uid="{6AC2936D-24E4-44BD-89A9-BC13D570FA49}"/>
    <cellStyle name="20% - Accent4 3 3 3" xfId="4947" xr:uid="{00000000-0005-0000-0000-00004A020000}"/>
    <cellStyle name="20% - Accent4 3 3 3 2" xfId="13397" xr:uid="{4BB6722C-A9AD-4065-B3AD-2DCC081D992C}"/>
    <cellStyle name="20% - Accent4 3 3 4" xfId="9179" xr:uid="{5FE53311-32AA-4CE0-9DC4-842CC2CBEC0E}"/>
    <cellStyle name="20% - Accent4 3 4" xfId="1052" xr:uid="{00000000-0005-0000-0000-00004B020000}"/>
    <cellStyle name="20% - Accent4 3 4 2" xfId="3283" xr:uid="{00000000-0005-0000-0000-00004C020000}"/>
    <cellStyle name="20% - Accent4 3 4 2 2" xfId="7505" xr:uid="{00000000-0005-0000-0000-00004D020000}"/>
    <cellStyle name="20% - Accent4 3 4 2 2 2" xfId="15955" xr:uid="{A71F0F52-6559-4953-9415-C45A81E94901}"/>
    <cellStyle name="20% - Accent4 3 4 2 3" xfId="11737" xr:uid="{2D70EEE1-250D-4DD8-A43A-E44947C2FBD7}"/>
    <cellStyle name="20% - Accent4 3 4 3" xfId="5360" xr:uid="{00000000-0005-0000-0000-00004E020000}"/>
    <cellStyle name="20% - Accent4 3 4 3 2" xfId="13810" xr:uid="{84C6CE38-E974-46C1-A378-D1846FD4B6BA}"/>
    <cellStyle name="20% - Accent4 3 4 4" xfId="9592" xr:uid="{0C0CE434-1176-491C-AACB-E455B4FBD953}"/>
    <cellStyle name="20% - Accent4 3 5" xfId="1466" xr:uid="{00000000-0005-0000-0000-00004F020000}"/>
    <cellStyle name="20% - Accent4 3 5 2" xfId="3696" xr:uid="{00000000-0005-0000-0000-000050020000}"/>
    <cellStyle name="20% - Accent4 3 5 2 2" xfId="7918" xr:uid="{00000000-0005-0000-0000-000051020000}"/>
    <cellStyle name="20% - Accent4 3 5 2 2 2" xfId="16368" xr:uid="{80DD8DC2-0C18-4A66-91A9-ACD1E9128698}"/>
    <cellStyle name="20% - Accent4 3 5 2 3" xfId="12150" xr:uid="{F98AF1DD-7956-410D-B24F-C592C676E6C8}"/>
    <cellStyle name="20% - Accent4 3 5 3" xfId="5773" xr:uid="{00000000-0005-0000-0000-000052020000}"/>
    <cellStyle name="20% - Accent4 3 5 3 2" xfId="14223" xr:uid="{920C31B0-09D2-407B-8837-3BB77175DE69}"/>
    <cellStyle name="20% - Accent4 3 5 4" xfId="10005" xr:uid="{5DC336B4-D723-4421-BE77-831E7671259F}"/>
    <cellStyle name="20% - Accent4 3 6" xfId="1880" xr:uid="{00000000-0005-0000-0000-000053020000}"/>
    <cellStyle name="20% - Accent4 3 6 2" xfId="4109" xr:uid="{00000000-0005-0000-0000-000054020000}"/>
    <cellStyle name="20% - Accent4 3 6 2 2" xfId="8331" xr:uid="{00000000-0005-0000-0000-000055020000}"/>
    <cellStyle name="20% - Accent4 3 6 2 2 2" xfId="16781" xr:uid="{6F622644-19BB-4161-9A5D-E0BAAB903448}"/>
    <cellStyle name="20% - Accent4 3 6 2 3" xfId="12563" xr:uid="{FC5B3149-1EE4-4ACD-862D-CDF7A08232A4}"/>
    <cellStyle name="20% - Accent4 3 6 3" xfId="6186" xr:uid="{00000000-0005-0000-0000-000056020000}"/>
    <cellStyle name="20% - Accent4 3 6 3 2" xfId="14636" xr:uid="{4A1F91E0-AC4E-441B-81AA-E3E3241594F4}"/>
    <cellStyle name="20% - Accent4 3 6 4" xfId="10418" xr:uid="{6C780DB0-ED16-489E-8B06-F7D4AECF66D5}"/>
    <cellStyle name="20% - Accent4 3 7" xfId="2293" xr:uid="{00000000-0005-0000-0000-000057020000}"/>
    <cellStyle name="20% - Accent4 3 7 2" xfId="6599" xr:uid="{00000000-0005-0000-0000-000058020000}"/>
    <cellStyle name="20% - Accent4 3 7 2 2" xfId="15049" xr:uid="{068BCF33-C289-41EE-AE8F-37744EB647DE}"/>
    <cellStyle name="20% - Accent4 3 7 3" xfId="10831" xr:uid="{873E93FC-5050-4A09-B8F7-55F17E733B58}"/>
    <cellStyle name="20% - Accent4 3 8" xfId="4533" xr:uid="{00000000-0005-0000-0000-000059020000}"/>
    <cellStyle name="20% - Accent4 3 8 2" xfId="12983" xr:uid="{10810B7B-9190-4B78-A68F-DA3BBB99B224}"/>
    <cellStyle name="20% - Accent4 3 9" xfId="8765" xr:uid="{001F0A86-DD6A-467E-BEA4-DD859BD18C16}"/>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2 2 2" xfId="15544" xr:uid="{0A91D653-5F57-4507-A318-AB69DBA996DF}"/>
    <cellStyle name="20% - Accent4 4 2 2 3" xfId="11326" xr:uid="{3569BC93-3D4D-4D1B-BC14-9B71CEC2FEBB}"/>
    <cellStyle name="20% - Accent4 4 2 3" xfId="4949" xr:uid="{00000000-0005-0000-0000-00005E020000}"/>
    <cellStyle name="20% - Accent4 4 2 3 2" xfId="13399" xr:uid="{E752E2D8-02AF-4327-A9D0-DBFB36833B5F}"/>
    <cellStyle name="20% - Accent4 4 2 4" xfId="9181" xr:uid="{2CDBA8B1-FEDF-439D-B877-77997D8C2D5C}"/>
    <cellStyle name="20% - Accent4 4 3" xfId="1054" xr:uid="{00000000-0005-0000-0000-00005F020000}"/>
    <cellStyle name="20% - Accent4 4 3 2" xfId="3285" xr:uid="{00000000-0005-0000-0000-000060020000}"/>
    <cellStyle name="20% - Accent4 4 3 2 2" xfId="7507" xr:uid="{00000000-0005-0000-0000-000061020000}"/>
    <cellStyle name="20% - Accent4 4 3 2 2 2" xfId="15957" xr:uid="{669E9E44-F4D1-4B2E-B9C0-CAD0C7BEAB5F}"/>
    <cellStyle name="20% - Accent4 4 3 2 3" xfId="11739" xr:uid="{8CC3A544-5C32-4665-931C-3F62D221DBFB}"/>
    <cellStyle name="20% - Accent4 4 3 3" xfId="5362" xr:uid="{00000000-0005-0000-0000-000062020000}"/>
    <cellStyle name="20% - Accent4 4 3 3 2" xfId="13812" xr:uid="{978D2E7D-4F0D-4BFA-8705-40C6884B382F}"/>
    <cellStyle name="20% - Accent4 4 3 4" xfId="9594" xr:uid="{642CAAA1-9CE0-4BDB-8790-DBA5F294586C}"/>
    <cellStyle name="20% - Accent4 4 4" xfId="1468" xr:uid="{00000000-0005-0000-0000-000063020000}"/>
    <cellStyle name="20% - Accent4 4 4 2" xfId="3698" xr:uid="{00000000-0005-0000-0000-000064020000}"/>
    <cellStyle name="20% - Accent4 4 4 2 2" xfId="7920" xr:uid="{00000000-0005-0000-0000-000065020000}"/>
    <cellStyle name="20% - Accent4 4 4 2 2 2" xfId="16370" xr:uid="{CAADC9E6-3CB8-492D-9CCF-C9A0B2E3D4AD}"/>
    <cellStyle name="20% - Accent4 4 4 2 3" xfId="12152" xr:uid="{FEBF76E7-B1AC-42A3-BAA6-25F734659626}"/>
    <cellStyle name="20% - Accent4 4 4 3" xfId="5775" xr:uid="{00000000-0005-0000-0000-000066020000}"/>
    <cellStyle name="20% - Accent4 4 4 3 2" xfId="14225" xr:uid="{36A74B1F-4BF2-4609-A64A-560CFD43CBDF}"/>
    <cellStyle name="20% - Accent4 4 4 4" xfId="10007" xr:uid="{950E23B7-9F80-4917-BF1A-E47DBDE8E5C4}"/>
    <cellStyle name="20% - Accent4 4 5" xfId="1882" xr:uid="{00000000-0005-0000-0000-000067020000}"/>
    <cellStyle name="20% - Accent4 4 5 2" xfId="4111" xr:uid="{00000000-0005-0000-0000-000068020000}"/>
    <cellStyle name="20% - Accent4 4 5 2 2" xfId="8333" xr:uid="{00000000-0005-0000-0000-000069020000}"/>
    <cellStyle name="20% - Accent4 4 5 2 2 2" xfId="16783" xr:uid="{FC337B78-98EA-4A09-9845-76EB23977B56}"/>
    <cellStyle name="20% - Accent4 4 5 2 3" xfId="12565" xr:uid="{26CEF622-E34E-4F6A-B2D9-B292C7048CC8}"/>
    <cellStyle name="20% - Accent4 4 5 3" xfId="6188" xr:uid="{00000000-0005-0000-0000-00006A020000}"/>
    <cellStyle name="20% - Accent4 4 5 3 2" xfId="14638" xr:uid="{8DE09253-6141-4CD3-9405-2FA3BF99C913}"/>
    <cellStyle name="20% - Accent4 4 5 4" xfId="10420" xr:uid="{7CC734CE-4BDF-48A1-AFC1-AC3BB787EE1A}"/>
    <cellStyle name="20% - Accent4 4 6" xfId="2295" xr:uid="{00000000-0005-0000-0000-00006B020000}"/>
    <cellStyle name="20% - Accent4 4 6 2" xfId="6601" xr:uid="{00000000-0005-0000-0000-00006C020000}"/>
    <cellStyle name="20% - Accent4 4 6 2 2" xfId="15051" xr:uid="{B2558F37-EFCB-451B-B696-DDAE4C557214}"/>
    <cellStyle name="20% - Accent4 4 6 3" xfId="10833" xr:uid="{74363241-E7B0-4D00-8623-7EA917490804}"/>
    <cellStyle name="20% - Accent4 4 7" xfId="4535" xr:uid="{00000000-0005-0000-0000-00006D020000}"/>
    <cellStyle name="20% - Accent4 4 7 2" xfId="12985" xr:uid="{DAA86144-4EEC-40DF-8300-351158FCF6A2}"/>
    <cellStyle name="20% - Accent4 4 8" xfId="8767" xr:uid="{59B1B1CC-E09C-4F6A-9311-E94CC110235A}"/>
    <cellStyle name="20% - Accent4 5" xfId="594" xr:uid="{00000000-0005-0000-0000-00006E020000}"/>
    <cellStyle name="20% - Accent4 5 2" xfId="2865" xr:uid="{00000000-0005-0000-0000-00006F020000}"/>
    <cellStyle name="20% - Accent4 5 2 2" xfId="7087" xr:uid="{00000000-0005-0000-0000-000070020000}"/>
    <cellStyle name="20% - Accent4 5 2 2 2" xfId="15537" xr:uid="{C372CF94-E448-4579-9D32-9EE02342F902}"/>
    <cellStyle name="20% - Accent4 5 2 3" xfId="11319" xr:uid="{51CF88F3-7F91-433F-ABA4-0B34DE6B45C6}"/>
    <cellStyle name="20% - Accent4 5 3" xfId="4942" xr:uid="{00000000-0005-0000-0000-000071020000}"/>
    <cellStyle name="20% - Accent4 5 3 2" xfId="13392" xr:uid="{68F7A18E-D5DA-4D17-A123-496562AB8C6B}"/>
    <cellStyle name="20% - Accent4 5 4" xfId="9174" xr:uid="{22C13375-9740-4AAF-ADC4-2F26F84094C6}"/>
    <cellStyle name="20% - Accent4 6" xfId="1047" xr:uid="{00000000-0005-0000-0000-000072020000}"/>
    <cellStyle name="20% - Accent4 6 2" xfId="3278" xr:uid="{00000000-0005-0000-0000-000073020000}"/>
    <cellStyle name="20% - Accent4 6 2 2" xfId="7500" xr:uid="{00000000-0005-0000-0000-000074020000}"/>
    <cellStyle name="20% - Accent4 6 2 2 2" xfId="15950" xr:uid="{806E9ED6-633F-43DE-B613-FAD4256CF2A7}"/>
    <cellStyle name="20% - Accent4 6 2 3" xfId="11732" xr:uid="{855BB181-BD9E-45B8-831F-06B564321B0D}"/>
    <cellStyle name="20% - Accent4 6 3" xfId="5355" xr:uid="{00000000-0005-0000-0000-000075020000}"/>
    <cellStyle name="20% - Accent4 6 3 2" xfId="13805" xr:uid="{9B58ADFD-0D4F-4E0A-BA6D-4CFF9EAA40B8}"/>
    <cellStyle name="20% - Accent4 6 4" xfId="9587" xr:uid="{5542003D-BE37-4584-A2A8-2243E06998C1}"/>
    <cellStyle name="20% - Accent4 7" xfId="1461" xr:uid="{00000000-0005-0000-0000-000076020000}"/>
    <cellStyle name="20% - Accent4 7 2" xfId="3691" xr:uid="{00000000-0005-0000-0000-000077020000}"/>
    <cellStyle name="20% - Accent4 7 2 2" xfId="7913" xr:uid="{00000000-0005-0000-0000-000078020000}"/>
    <cellStyle name="20% - Accent4 7 2 2 2" xfId="16363" xr:uid="{196E35D1-20EF-4D5F-8340-DA4AE5C76446}"/>
    <cellStyle name="20% - Accent4 7 2 3" xfId="12145" xr:uid="{B7FBBDC7-C1A5-4F07-9106-339D4BA1BF8D}"/>
    <cellStyle name="20% - Accent4 7 3" xfId="5768" xr:uid="{00000000-0005-0000-0000-000079020000}"/>
    <cellStyle name="20% - Accent4 7 3 2" xfId="14218" xr:uid="{3BE0AC9D-CA4F-4F65-9382-8D08235E1296}"/>
    <cellStyle name="20% - Accent4 7 4" xfId="10000" xr:uid="{E73D5A81-C0CB-4869-91AD-C1D0B1622DD5}"/>
    <cellStyle name="20% - Accent4 8" xfId="1875" xr:uid="{00000000-0005-0000-0000-00007A020000}"/>
    <cellStyle name="20% - Accent4 8 2" xfId="4104" xr:uid="{00000000-0005-0000-0000-00007B020000}"/>
    <cellStyle name="20% - Accent4 8 2 2" xfId="8326" xr:uid="{00000000-0005-0000-0000-00007C020000}"/>
    <cellStyle name="20% - Accent4 8 2 2 2" xfId="16776" xr:uid="{CD30BAED-7B59-4910-9E25-FD66C54F2219}"/>
    <cellStyle name="20% - Accent4 8 2 3" xfId="12558" xr:uid="{DC3E063F-0A8A-46E4-9D10-F7F6532D072C}"/>
    <cellStyle name="20% - Accent4 8 3" xfId="6181" xr:uid="{00000000-0005-0000-0000-00007D020000}"/>
    <cellStyle name="20% - Accent4 8 3 2" xfId="14631" xr:uid="{FF4FBCA4-FCAA-4DA5-9E28-9F412095D946}"/>
    <cellStyle name="20% - Accent4 8 4" xfId="10413" xr:uid="{EC0F96E0-2D22-40C1-93D5-4173CFC05D65}"/>
    <cellStyle name="20% - Accent4 9" xfId="2288" xr:uid="{00000000-0005-0000-0000-00007E020000}"/>
    <cellStyle name="20% - Accent4 9 2" xfId="6594" xr:uid="{00000000-0005-0000-0000-00007F020000}"/>
    <cellStyle name="20% - Accent4 9 2 2" xfId="15044" xr:uid="{6262EFD1-5BD4-4FCF-8ED3-D2242A658DAE}"/>
    <cellStyle name="20% - Accent4 9 3" xfId="10826" xr:uid="{EBB86879-3E52-4B98-981F-BB2A0BBBF611}"/>
    <cellStyle name="20% - Accent5" xfId="33" builtinId="46" customBuiltin="1"/>
    <cellStyle name="20% - Accent5 10" xfId="4536" xr:uid="{00000000-0005-0000-0000-000081020000}"/>
    <cellStyle name="20% - Accent5 10 2" xfId="12986" xr:uid="{E8E7C10C-5610-444A-8C21-4D140429C840}"/>
    <cellStyle name="20% - Accent5 11" xfId="8768" xr:uid="{E367BD9E-A9B0-4611-B5AB-4C8C9626529C}"/>
    <cellStyle name="20% - Accent5 2" xfId="34" xr:uid="{00000000-0005-0000-0000-000082020000}"/>
    <cellStyle name="20% - Accent5 2 10" xfId="8769" xr:uid="{942859B9-AA98-4800-9BF9-2B6CAB8C5017}"/>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2 2 2" xfId="15548" xr:uid="{B6FFE253-12C4-403C-8147-176787E53247}"/>
    <cellStyle name="20% - Accent5 2 2 2 2 2 3" xfId="11330" xr:uid="{A75A8E7A-0B15-4121-90C4-880A3C1ED1FC}"/>
    <cellStyle name="20% - Accent5 2 2 2 2 3" xfId="4953" xr:uid="{00000000-0005-0000-0000-000088020000}"/>
    <cellStyle name="20% - Accent5 2 2 2 2 3 2" xfId="13403" xr:uid="{CFED55F3-C2CF-4707-B0A0-3013588615C7}"/>
    <cellStyle name="20% - Accent5 2 2 2 2 4" xfId="9185" xr:uid="{8D038F0D-0003-4F38-B06A-6D3C1D104188}"/>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2 2 2" xfId="15961" xr:uid="{FD43C8BA-A9FC-4351-8511-A5BE11EA5AC0}"/>
    <cellStyle name="20% - Accent5 2 2 2 3 2 3" xfId="11743" xr:uid="{44876B5E-C194-4DBD-B34D-ACE9897ED38F}"/>
    <cellStyle name="20% - Accent5 2 2 2 3 3" xfId="5366" xr:uid="{00000000-0005-0000-0000-00008C020000}"/>
    <cellStyle name="20% - Accent5 2 2 2 3 3 2" xfId="13816" xr:uid="{8F8E2DE4-1167-48BF-9620-001BDFDBF6B6}"/>
    <cellStyle name="20% - Accent5 2 2 2 3 4" xfId="9598" xr:uid="{28A650F6-36D7-400D-8E2C-E4E257660116}"/>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2 2 2" xfId="16374" xr:uid="{1B14B778-06B1-4FD4-AE21-E8C69B8E6CC7}"/>
    <cellStyle name="20% - Accent5 2 2 2 4 2 3" xfId="12156" xr:uid="{188EF01D-E501-4A41-9BB3-A5E994B90851}"/>
    <cellStyle name="20% - Accent5 2 2 2 4 3" xfId="5779" xr:uid="{00000000-0005-0000-0000-000090020000}"/>
    <cellStyle name="20% - Accent5 2 2 2 4 3 2" xfId="14229" xr:uid="{69664729-2575-453D-B9B7-AAD0B72F7533}"/>
    <cellStyle name="20% - Accent5 2 2 2 4 4" xfId="10011" xr:uid="{663AF640-B9F4-4506-8C17-A27DB42F154A}"/>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2 2 2" xfId="16787" xr:uid="{E915CB73-350A-47E8-B32E-FCBFD5AFAFA0}"/>
    <cellStyle name="20% - Accent5 2 2 2 5 2 3" xfId="12569" xr:uid="{36A8A5CB-E517-4114-989A-C413FA3EC315}"/>
    <cellStyle name="20% - Accent5 2 2 2 5 3" xfId="6192" xr:uid="{00000000-0005-0000-0000-000094020000}"/>
    <cellStyle name="20% - Accent5 2 2 2 5 3 2" xfId="14642" xr:uid="{3299FBBF-68DC-4C91-A2CF-FE6D95DEC782}"/>
    <cellStyle name="20% - Accent5 2 2 2 5 4" xfId="10424" xr:uid="{6324CF31-3C72-48CB-973B-04C0DB423A75}"/>
    <cellStyle name="20% - Accent5 2 2 2 6" xfId="2299" xr:uid="{00000000-0005-0000-0000-000095020000}"/>
    <cellStyle name="20% - Accent5 2 2 2 6 2" xfId="6605" xr:uid="{00000000-0005-0000-0000-000096020000}"/>
    <cellStyle name="20% - Accent5 2 2 2 6 2 2" xfId="15055" xr:uid="{161BAF01-4A32-4FD6-BF16-3EC12E86448C}"/>
    <cellStyle name="20% - Accent5 2 2 2 6 3" xfId="10837" xr:uid="{4EB1BF22-1628-4D62-9691-53FF16FE6C0F}"/>
    <cellStyle name="20% - Accent5 2 2 2 7" xfId="4539" xr:uid="{00000000-0005-0000-0000-000097020000}"/>
    <cellStyle name="20% - Accent5 2 2 2 7 2" xfId="12989" xr:uid="{8E6CF394-0450-491D-8695-AE800DB6D4F1}"/>
    <cellStyle name="20% - Accent5 2 2 2 8" xfId="8771" xr:uid="{6A1F7EE0-B42F-4249-863E-84D839726B83}"/>
    <cellStyle name="20% - Accent5 2 2 3" xfId="604" xr:uid="{00000000-0005-0000-0000-000098020000}"/>
    <cellStyle name="20% - Accent5 2 2 3 2" xfId="2875" xr:uid="{00000000-0005-0000-0000-000099020000}"/>
    <cellStyle name="20% - Accent5 2 2 3 2 2" xfId="7097" xr:uid="{00000000-0005-0000-0000-00009A020000}"/>
    <cellStyle name="20% - Accent5 2 2 3 2 2 2" xfId="15547" xr:uid="{CE5936E0-5EE3-4751-831B-66CB6DAF4A6F}"/>
    <cellStyle name="20% - Accent5 2 2 3 2 3" xfId="11329" xr:uid="{40287651-DC7C-4D0A-9271-23C6DF4BCD5F}"/>
    <cellStyle name="20% - Accent5 2 2 3 3" xfId="4952" xr:uid="{00000000-0005-0000-0000-00009B020000}"/>
    <cellStyle name="20% - Accent5 2 2 3 3 2" xfId="13402" xr:uid="{39489E9E-58BD-4711-B4F0-892093445BA7}"/>
    <cellStyle name="20% - Accent5 2 2 3 4" xfId="9184" xr:uid="{86E2B3D1-D7AD-464D-9155-AED9F0B2341C}"/>
    <cellStyle name="20% - Accent5 2 2 4" xfId="1057" xr:uid="{00000000-0005-0000-0000-00009C020000}"/>
    <cellStyle name="20% - Accent5 2 2 4 2" xfId="3288" xr:uid="{00000000-0005-0000-0000-00009D020000}"/>
    <cellStyle name="20% - Accent5 2 2 4 2 2" xfId="7510" xr:uid="{00000000-0005-0000-0000-00009E020000}"/>
    <cellStyle name="20% - Accent5 2 2 4 2 2 2" xfId="15960" xr:uid="{17D9C080-D194-4C08-8453-A090C8ACB218}"/>
    <cellStyle name="20% - Accent5 2 2 4 2 3" xfId="11742" xr:uid="{63876701-7607-47F3-9EE7-5779D84181CC}"/>
    <cellStyle name="20% - Accent5 2 2 4 3" xfId="5365" xr:uid="{00000000-0005-0000-0000-00009F020000}"/>
    <cellStyle name="20% - Accent5 2 2 4 3 2" xfId="13815" xr:uid="{37C9CEC8-411D-42CE-AAD3-D72F1FBF53ED}"/>
    <cellStyle name="20% - Accent5 2 2 4 4" xfId="9597" xr:uid="{65423459-B562-4D4C-A4F6-959A9B2E94CF}"/>
    <cellStyle name="20% - Accent5 2 2 5" xfId="1471" xr:uid="{00000000-0005-0000-0000-0000A0020000}"/>
    <cellStyle name="20% - Accent5 2 2 5 2" xfId="3701" xr:uid="{00000000-0005-0000-0000-0000A1020000}"/>
    <cellStyle name="20% - Accent5 2 2 5 2 2" xfId="7923" xr:uid="{00000000-0005-0000-0000-0000A2020000}"/>
    <cellStyle name="20% - Accent5 2 2 5 2 2 2" xfId="16373" xr:uid="{6949027F-E9B7-4805-9801-232D8FB833BD}"/>
    <cellStyle name="20% - Accent5 2 2 5 2 3" xfId="12155" xr:uid="{020AA642-70C6-4746-8733-63BB238A2A27}"/>
    <cellStyle name="20% - Accent5 2 2 5 3" xfId="5778" xr:uid="{00000000-0005-0000-0000-0000A3020000}"/>
    <cellStyle name="20% - Accent5 2 2 5 3 2" xfId="14228" xr:uid="{5D0CBBA3-B415-4C85-8921-95275FB4F3C3}"/>
    <cellStyle name="20% - Accent5 2 2 5 4" xfId="10010" xr:uid="{C997257F-5A3A-4B74-8EAE-9F155242AA7B}"/>
    <cellStyle name="20% - Accent5 2 2 6" xfId="1885" xr:uid="{00000000-0005-0000-0000-0000A4020000}"/>
    <cellStyle name="20% - Accent5 2 2 6 2" xfId="4114" xr:uid="{00000000-0005-0000-0000-0000A5020000}"/>
    <cellStyle name="20% - Accent5 2 2 6 2 2" xfId="8336" xr:uid="{00000000-0005-0000-0000-0000A6020000}"/>
    <cellStyle name="20% - Accent5 2 2 6 2 2 2" xfId="16786" xr:uid="{F18FC16C-A041-4B82-B41E-26B2BCD02D1E}"/>
    <cellStyle name="20% - Accent5 2 2 6 2 3" xfId="12568" xr:uid="{DD89D663-63B7-45C4-9EA3-CFFE570DD92B}"/>
    <cellStyle name="20% - Accent5 2 2 6 3" xfId="6191" xr:uid="{00000000-0005-0000-0000-0000A7020000}"/>
    <cellStyle name="20% - Accent5 2 2 6 3 2" xfId="14641" xr:uid="{4D9A2DF4-D15C-4EC9-87E5-6DBC0650AB43}"/>
    <cellStyle name="20% - Accent5 2 2 6 4" xfId="10423" xr:uid="{F51B43A7-14B5-413D-BFF5-F9965EB83F8E}"/>
    <cellStyle name="20% - Accent5 2 2 7" xfId="2298" xr:uid="{00000000-0005-0000-0000-0000A8020000}"/>
    <cellStyle name="20% - Accent5 2 2 7 2" xfId="6604" xr:uid="{00000000-0005-0000-0000-0000A9020000}"/>
    <cellStyle name="20% - Accent5 2 2 7 2 2" xfId="15054" xr:uid="{42995EF0-6D39-4FC2-9E5A-C89679906608}"/>
    <cellStyle name="20% - Accent5 2 2 7 3" xfId="10836" xr:uid="{1FB0ED09-10E5-4A3D-B438-739E6C7B7391}"/>
    <cellStyle name="20% - Accent5 2 2 8" xfId="4538" xr:uid="{00000000-0005-0000-0000-0000AA020000}"/>
    <cellStyle name="20% - Accent5 2 2 8 2" xfId="12988" xr:uid="{11D0E0B8-03FF-42CA-8ED9-D954A21D1815}"/>
    <cellStyle name="20% - Accent5 2 2 9" xfId="8770" xr:uid="{D6B3C92F-B04F-4923-9B82-D23E724E8857}"/>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2 2 2" xfId="15549" xr:uid="{4AAE9E9B-CCF7-447D-93D9-26A6D0779B5C}"/>
    <cellStyle name="20% - Accent5 2 3 2 2 3" xfId="11331" xr:uid="{A914411A-811D-4113-B8CB-BD3DB7617E36}"/>
    <cellStyle name="20% - Accent5 2 3 2 3" xfId="4954" xr:uid="{00000000-0005-0000-0000-0000AF020000}"/>
    <cellStyle name="20% - Accent5 2 3 2 3 2" xfId="13404" xr:uid="{3339B6CA-3E91-47F1-8370-744346F77060}"/>
    <cellStyle name="20% - Accent5 2 3 2 4" xfId="9186" xr:uid="{3A4CA5D8-45D2-4B2E-9F25-FB1D356E9978}"/>
    <cellStyle name="20% - Accent5 2 3 3" xfId="1059" xr:uid="{00000000-0005-0000-0000-0000B0020000}"/>
    <cellStyle name="20% - Accent5 2 3 3 2" xfId="3290" xr:uid="{00000000-0005-0000-0000-0000B1020000}"/>
    <cellStyle name="20% - Accent5 2 3 3 2 2" xfId="7512" xr:uid="{00000000-0005-0000-0000-0000B2020000}"/>
    <cellStyle name="20% - Accent5 2 3 3 2 2 2" xfId="15962" xr:uid="{2FAD2C24-4908-4156-9CE2-675AF5FC4D82}"/>
    <cellStyle name="20% - Accent5 2 3 3 2 3" xfId="11744" xr:uid="{FA31E77E-266B-4CBC-B3B2-B38575D83953}"/>
    <cellStyle name="20% - Accent5 2 3 3 3" xfId="5367" xr:uid="{00000000-0005-0000-0000-0000B3020000}"/>
    <cellStyle name="20% - Accent5 2 3 3 3 2" xfId="13817" xr:uid="{1BAFA582-F6D4-45B4-B997-1C2849BCFF6C}"/>
    <cellStyle name="20% - Accent5 2 3 3 4" xfId="9599" xr:uid="{DD125272-C075-4051-9997-1F0001EFB32C}"/>
    <cellStyle name="20% - Accent5 2 3 4" xfId="1473" xr:uid="{00000000-0005-0000-0000-0000B4020000}"/>
    <cellStyle name="20% - Accent5 2 3 4 2" xfId="3703" xr:uid="{00000000-0005-0000-0000-0000B5020000}"/>
    <cellStyle name="20% - Accent5 2 3 4 2 2" xfId="7925" xr:uid="{00000000-0005-0000-0000-0000B6020000}"/>
    <cellStyle name="20% - Accent5 2 3 4 2 2 2" xfId="16375" xr:uid="{D9BD478F-59B9-4B58-BC1C-DF2781A16377}"/>
    <cellStyle name="20% - Accent5 2 3 4 2 3" xfId="12157" xr:uid="{6632CB7F-788D-443A-BDD5-16C751061A8A}"/>
    <cellStyle name="20% - Accent5 2 3 4 3" xfId="5780" xr:uid="{00000000-0005-0000-0000-0000B7020000}"/>
    <cellStyle name="20% - Accent5 2 3 4 3 2" xfId="14230" xr:uid="{F563B017-E5F8-458E-9E03-F56168F909FC}"/>
    <cellStyle name="20% - Accent5 2 3 4 4" xfId="10012" xr:uid="{78002777-A495-488B-BD4F-DC85AF76E1F9}"/>
    <cellStyle name="20% - Accent5 2 3 5" xfId="1887" xr:uid="{00000000-0005-0000-0000-0000B8020000}"/>
    <cellStyle name="20% - Accent5 2 3 5 2" xfId="4116" xr:uid="{00000000-0005-0000-0000-0000B9020000}"/>
    <cellStyle name="20% - Accent5 2 3 5 2 2" xfId="8338" xr:uid="{00000000-0005-0000-0000-0000BA020000}"/>
    <cellStyle name="20% - Accent5 2 3 5 2 2 2" xfId="16788" xr:uid="{2A2A9DD5-142D-49BF-85B5-93DE692788D8}"/>
    <cellStyle name="20% - Accent5 2 3 5 2 3" xfId="12570" xr:uid="{E9465F03-94D5-462C-A015-75D822B3489F}"/>
    <cellStyle name="20% - Accent5 2 3 5 3" xfId="6193" xr:uid="{00000000-0005-0000-0000-0000BB020000}"/>
    <cellStyle name="20% - Accent5 2 3 5 3 2" xfId="14643" xr:uid="{8DCD44B2-99DC-43C4-AAE4-3A947FCC1AEB}"/>
    <cellStyle name="20% - Accent5 2 3 5 4" xfId="10425" xr:uid="{EADE7E9A-51A1-4329-BA22-6D11EBA4A57C}"/>
    <cellStyle name="20% - Accent5 2 3 6" xfId="2300" xr:uid="{00000000-0005-0000-0000-0000BC020000}"/>
    <cellStyle name="20% - Accent5 2 3 6 2" xfId="6606" xr:uid="{00000000-0005-0000-0000-0000BD020000}"/>
    <cellStyle name="20% - Accent5 2 3 6 2 2" xfId="15056" xr:uid="{3AF3EDF6-BB4D-4365-84C7-F036739FB88A}"/>
    <cellStyle name="20% - Accent5 2 3 6 3" xfId="10838" xr:uid="{DD72EF9E-D99D-44D2-817C-9C7339B9D51E}"/>
    <cellStyle name="20% - Accent5 2 3 7" xfId="4540" xr:uid="{00000000-0005-0000-0000-0000BE020000}"/>
    <cellStyle name="20% - Accent5 2 3 7 2" xfId="12990" xr:uid="{C1328504-4A59-43B1-A01A-4B2B3CC558D0}"/>
    <cellStyle name="20% - Accent5 2 3 8" xfId="8772" xr:uid="{E450B43E-D67E-457D-9A2F-F7DF5A4C1923}"/>
    <cellStyle name="20% - Accent5 2 4" xfId="603" xr:uid="{00000000-0005-0000-0000-0000BF020000}"/>
    <cellStyle name="20% - Accent5 2 4 2" xfId="2874" xr:uid="{00000000-0005-0000-0000-0000C0020000}"/>
    <cellStyle name="20% - Accent5 2 4 2 2" xfId="7096" xr:uid="{00000000-0005-0000-0000-0000C1020000}"/>
    <cellStyle name="20% - Accent5 2 4 2 2 2" xfId="15546" xr:uid="{B0921491-6533-466A-BEAE-B9F8FF53CC0C}"/>
    <cellStyle name="20% - Accent5 2 4 2 3" xfId="11328" xr:uid="{951D0C71-FA46-41DF-9C8F-4CFB4A6ECF07}"/>
    <cellStyle name="20% - Accent5 2 4 3" xfId="4951" xr:uid="{00000000-0005-0000-0000-0000C2020000}"/>
    <cellStyle name="20% - Accent5 2 4 3 2" xfId="13401" xr:uid="{B9CD9993-9079-4135-92E0-A88997F5A38D}"/>
    <cellStyle name="20% - Accent5 2 4 4" xfId="9183" xr:uid="{A42BF337-32A9-41B1-A0B8-C502D0B21D29}"/>
    <cellStyle name="20% - Accent5 2 5" xfId="1056" xr:uid="{00000000-0005-0000-0000-0000C3020000}"/>
    <cellStyle name="20% - Accent5 2 5 2" xfId="3287" xr:uid="{00000000-0005-0000-0000-0000C4020000}"/>
    <cellStyle name="20% - Accent5 2 5 2 2" xfId="7509" xr:uid="{00000000-0005-0000-0000-0000C5020000}"/>
    <cellStyle name="20% - Accent5 2 5 2 2 2" xfId="15959" xr:uid="{03F429F2-66F8-4B21-91E3-CCEE544EDB23}"/>
    <cellStyle name="20% - Accent5 2 5 2 3" xfId="11741" xr:uid="{F549F80C-9A99-4C9B-9502-57F339ADBBF2}"/>
    <cellStyle name="20% - Accent5 2 5 3" xfId="5364" xr:uid="{00000000-0005-0000-0000-0000C6020000}"/>
    <cellStyle name="20% - Accent5 2 5 3 2" xfId="13814" xr:uid="{88D4B2AE-65FC-4BD5-A8FD-D68A49E26DED}"/>
    <cellStyle name="20% - Accent5 2 5 4" xfId="9596" xr:uid="{B816A6A8-B810-4831-AFA8-E8E015A70B33}"/>
    <cellStyle name="20% - Accent5 2 6" xfId="1470" xr:uid="{00000000-0005-0000-0000-0000C7020000}"/>
    <cellStyle name="20% - Accent5 2 6 2" xfId="3700" xr:uid="{00000000-0005-0000-0000-0000C8020000}"/>
    <cellStyle name="20% - Accent5 2 6 2 2" xfId="7922" xr:uid="{00000000-0005-0000-0000-0000C9020000}"/>
    <cellStyle name="20% - Accent5 2 6 2 2 2" xfId="16372" xr:uid="{9022B6CF-3B2C-4DD6-8D06-022A746A1658}"/>
    <cellStyle name="20% - Accent5 2 6 2 3" xfId="12154" xr:uid="{071C3555-930B-44B2-AA50-8B4632511A03}"/>
    <cellStyle name="20% - Accent5 2 6 3" xfId="5777" xr:uid="{00000000-0005-0000-0000-0000CA020000}"/>
    <cellStyle name="20% - Accent5 2 6 3 2" xfId="14227" xr:uid="{FFD6ABB3-BAF2-4CB3-9C40-4C77014FE478}"/>
    <cellStyle name="20% - Accent5 2 6 4" xfId="10009" xr:uid="{87E7B071-83E5-43C0-88F5-D48CE63371F2}"/>
    <cellStyle name="20% - Accent5 2 7" xfId="1884" xr:uid="{00000000-0005-0000-0000-0000CB020000}"/>
    <cellStyle name="20% - Accent5 2 7 2" xfId="4113" xr:uid="{00000000-0005-0000-0000-0000CC020000}"/>
    <cellStyle name="20% - Accent5 2 7 2 2" xfId="8335" xr:uid="{00000000-0005-0000-0000-0000CD020000}"/>
    <cellStyle name="20% - Accent5 2 7 2 2 2" xfId="16785" xr:uid="{379D0BA2-8101-4CEE-B997-C47FFEE8007F}"/>
    <cellStyle name="20% - Accent5 2 7 2 3" xfId="12567" xr:uid="{69ADADDE-FB18-474F-AEDA-CCBF59EB760F}"/>
    <cellStyle name="20% - Accent5 2 7 3" xfId="6190" xr:uid="{00000000-0005-0000-0000-0000CE020000}"/>
    <cellStyle name="20% - Accent5 2 7 3 2" xfId="14640" xr:uid="{E464D26F-82EB-4A80-8FD2-6E7E9840D345}"/>
    <cellStyle name="20% - Accent5 2 7 4" xfId="10422" xr:uid="{8075B449-E0B5-4CAA-B744-4C236E66899A}"/>
    <cellStyle name="20% - Accent5 2 8" xfId="2297" xr:uid="{00000000-0005-0000-0000-0000CF020000}"/>
    <cellStyle name="20% - Accent5 2 8 2" xfId="6603" xr:uid="{00000000-0005-0000-0000-0000D0020000}"/>
    <cellStyle name="20% - Accent5 2 8 2 2" xfId="15053" xr:uid="{7E77EB0F-BBBA-4545-A8BD-7ACF34F8A37B}"/>
    <cellStyle name="20% - Accent5 2 8 3" xfId="10835" xr:uid="{DF0D30E9-6879-4E06-96A7-F18907B5381C}"/>
    <cellStyle name="20% - Accent5 2 9" xfId="4537" xr:uid="{00000000-0005-0000-0000-0000D1020000}"/>
    <cellStyle name="20% - Accent5 2 9 2" xfId="12987" xr:uid="{1E38BC5B-63A1-4EA6-BEF3-08146AC17162}"/>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2 2 2" xfId="15551" xr:uid="{435F98B7-949A-47A9-9001-E081588F9445}"/>
    <cellStyle name="20% - Accent5 3 2 2 2 3" xfId="11333" xr:uid="{0AC9CF5E-3576-49F4-B853-CB9A82B96BC0}"/>
    <cellStyle name="20% - Accent5 3 2 2 3" xfId="4956" xr:uid="{00000000-0005-0000-0000-0000D7020000}"/>
    <cellStyle name="20% - Accent5 3 2 2 3 2" xfId="13406" xr:uid="{DB1F5E3C-30B9-4ADB-8360-34A1F636D87E}"/>
    <cellStyle name="20% - Accent5 3 2 2 4" xfId="9188" xr:uid="{B72EB7D3-A69D-4C6B-8553-17B7FD9976C6}"/>
    <cellStyle name="20% - Accent5 3 2 3" xfId="1061" xr:uid="{00000000-0005-0000-0000-0000D8020000}"/>
    <cellStyle name="20% - Accent5 3 2 3 2" xfId="3292" xr:uid="{00000000-0005-0000-0000-0000D9020000}"/>
    <cellStyle name="20% - Accent5 3 2 3 2 2" xfId="7514" xr:uid="{00000000-0005-0000-0000-0000DA020000}"/>
    <cellStyle name="20% - Accent5 3 2 3 2 2 2" xfId="15964" xr:uid="{B850B4E0-5311-49DD-8C99-2F23FF523BF5}"/>
    <cellStyle name="20% - Accent5 3 2 3 2 3" xfId="11746" xr:uid="{C7C27A2A-1445-4CD8-BDF2-BEEB88B88659}"/>
    <cellStyle name="20% - Accent5 3 2 3 3" xfId="5369" xr:uid="{00000000-0005-0000-0000-0000DB020000}"/>
    <cellStyle name="20% - Accent5 3 2 3 3 2" xfId="13819" xr:uid="{786A6967-2A3A-4946-BF01-544BD561D41C}"/>
    <cellStyle name="20% - Accent5 3 2 3 4" xfId="9601" xr:uid="{1C7FCE24-F07E-49A4-A8C3-5FDE9DE40B77}"/>
    <cellStyle name="20% - Accent5 3 2 4" xfId="1475" xr:uid="{00000000-0005-0000-0000-0000DC020000}"/>
    <cellStyle name="20% - Accent5 3 2 4 2" xfId="3705" xr:uid="{00000000-0005-0000-0000-0000DD020000}"/>
    <cellStyle name="20% - Accent5 3 2 4 2 2" xfId="7927" xr:uid="{00000000-0005-0000-0000-0000DE020000}"/>
    <cellStyle name="20% - Accent5 3 2 4 2 2 2" xfId="16377" xr:uid="{DA669737-580F-4D9F-8CBD-6A23AADAF1D5}"/>
    <cellStyle name="20% - Accent5 3 2 4 2 3" xfId="12159" xr:uid="{0F5AB7E3-C3BE-409E-92D2-5DC2FC3BB52F}"/>
    <cellStyle name="20% - Accent5 3 2 4 3" xfId="5782" xr:uid="{00000000-0005-0000-0000-0000DF020000}"/>
    <cellStyle name="20% - Accent5 3 2 4 3 2" xfId="14232" xr:uid="{3E21E06F-E60A-4CE4-B206-199136AC32FA}"/>
    <cellStyle name="20% - Accent5 3 2 4 4" xfId="10014" xr:uid="{45B32C1C-B592-4A0C-9D6D-549ACF291C71}"/>
    <cellStyle name="20% - Accent5 3 2 5" xfId="1889" xr:uid="{00000000-0005-0000-0000-0000E0020000}"/>
    <cellStyle name="20% - Accent5 3 2 5 2" xfId="4118" xr:uid="{00000000-0005-0000-0000-0000E1020000}"/>
    <cellStyle name="20% - Accent5 3 2 5 2 2" xfId="8340" xr:uid="{00000000-0005-0000-0000-0000E2020000}"/>
    <cellStyle name="20% - Accent5 3 2 5 2 2 2" xfId="16790" xr:uid="{54F28C03-B23D-43DE-BDD5-0A3012FAE494}"/>
    <cellStyle name="20% - Accent5 3 2 5 2 3" xfId="12572" xr:uid="{655D549F-07B1-4FE2-9A57-8EB8578F287D}"/>
    <cellStyle name="20% - Accent5 3 2 5 3" xfId="6195" xr:uid="{00000000-0005-0000-0000-0000E3020000}"/>
    <cellStyle name="20% - Accent5 3 2 5 3 2" xfId="14645" xr:uid="{BBD88B2F-0F5A-46E1-B75F-8020F05EB61E}"/>
    <cellStyle name="20% - Accent5 3 2 5 4" xfId="10427" xr:uid="{688DBB3A-BFB8-4C97-98B5-029E1382C798}"/>
    <cellStyle name="20% - Accent5 3 2 6" xfId="2302" xr:uid="{00000000-0005-0000-0000-0000E4020000}"/>
    <cellStyle name="20% - Accent5 3 2 6 2" xfId="6608" xr:uid="{00000000-0005-0000-0000-0000E5020000}"/>
    <cellStyle name="20% - Accent5 3 2 6 2 2" xfId="15058" xr:uid="{07B0E0C1-983B-408B-A2EE-2486E5337DB3}"/>
    <cellStyle name="20% - Accent5 3 2 6 3" xfId="10840" xr:uid="{19D832E3-1C7B-4C45-8740-C0A721391F54}"/>
    <cellStyle name="20% - Accent5 3 2 7" xfId="4542" xr:uid="{00000000-0005-0000-0000-0000E6020000}"/>
    <cellStyle name="20% - Accent5 3 2 7 2" xfId="12992" xr:uid="{70DFF499-FBA2-4B23-92B5-9FC8383D193D}"/>
    <cellStyle name="20% - Accent5 3 2 8" xfId="8774" xr:uid="{F475DD02-A8A2-4E54-A90A-5DB6517F8F96}"/>
    <cellStyle name="20% - Accent5 3 3" xfId="607" xr:uid="{00000000-0005-0000-0000-0000E7020000}"/>
    <cellStyle name="20% - Accent5 3 3 2" xfId="2878" xr:uid="{00000000-0005-0000-0000-0000E8020000}"/>
    <cellStyle name="20% - Accent5 3 3 2 2" xfId="7100" xr:uid="{00000000-0005-0000-0000-0000E9020000}"/>
    <cellStyle name="20% - Accent5 3 3 2 2 2" xfId="15550" xr:uid="{EDE6F104-D3B2-4180-A38D-EBBCEE418F28}"/>
    <cellStyle name="20% - Accent5 3 3 2 3" xfId="11332" xr:uid="{D7BBDB12-7F5C-4C91-A9C3-0C1EC707E82B}"/>
    <cellStyle name="20% - Accent5 3 3 3" xfId="4955" xr:uid="{00000000-0005-0000-0000-0000EA020000}"/>
    <cellStyle name="20% - Accent5 3 3 3 2" xfId="13405" xr:uid="{0382A934-905B-48C0-A06D-D2D813056FF9}"/>
    <cellStyle name="20% - Accent5 3 3 4" xfId="9187" xr:uid="{0885818A-5215-4CBB-9A24-F4D7E4505F0B}"/>
    <cellStyle name="20% - Accent5 3 4" xfId="1060" xr:uid="{00000000-0005-0000-0000-0000EB020000}"/>
    <cellStyle name="20% - Accent5 3 4 2" xfId="3291" xr:uid="{00000000-0005-0000-0000-0000EC020000}"/>
    <cellStyle name="20% - Accent5 3 4 2 2" xfId="7513" xr:uid="{00000000-0005-0000-0000-0000ED020000}"/>
    <cellStyle name="20% - Accent5 3 4 2 2 2" xfId="15963" xr:uid="{5D861AFE-6326-4FC9-ACE9-133C4EE54D82}"/>
    <cellStyle name="20% - Accent5 3 4 2 3" xfId="11745" xr:uid="{DBC9F63D-488E-40AC-927F-59F0D6873352}"/>
    <cellStyle name="20% - Accent5 3 4 3" xfId="5368" xr:uid="{00000000-0005-0000-0000-0000EE020000}"/>
    <cellStyle name="20% - Accent5 3 4 3 2" xfId="13818" xr:uid="{20A90468-EC78-4F8E-A7FC-8D89B5294C50}"/>
    <cellStyle name="20% - Accent5 3 4 4" xfId="9600" xr:uid="{3158BE67-7C4F-455F-9401-3F2D95FDC1FA}"/>
    <cellStyle name="20% - Accent5 3 5" xfId="1474" xr:uid="{00000000-0005-0000-0000-0000EF020000}"/>
    <cellStyle name="20% - Accent5 3 5 2" xfId="3704" xr:uid="{00000000-0005-0000-0000-0000F0020000}"/>
    <cellStyle name="20% - Accent5 3 5 2 2" xfId="7926" xr:uid="{00000000-0005-0000-0000-0000F1020000}"/>
    <cellStyle name="20% - Accent5 3 5 2 2 2" xfId="16376" xr:uid="{8B5280DB-12CB-4878-BC2E-5AEE274CE181}"/>
    <cellStyle name="20% - Accent5 3 5 2 3" xfId="12158" xr:uid="{11721FC2-95F7-4B7C-9CF5-9DC2E309BC50}"/>
    <cellStyle name="20% - Accent5 3 5 3" xfId="5781" xr:uid="{00000000-0005-0000-0000-0000F2020000}"/>
    <cellStyle name="20% - Accent5 3 5 3 2" xfId="14231" xr:uid="{E1E31DF6-2CCF-49D4-A8E0-5B18477A7CE9}"/>
    <cellStyle name="20% - Accent5 3 5 4" xfId="10013" xr:uid="{D167CC07-7378-430A-9765-71F223A54300}"/>
    <cellStyle name="20% - Accent5 3 6" xfId="1888" xr:uid="{00000000-0005-0000-0000-0000F3020000}"/>
    <cellStyle name="20% - Accent5 3 6 2" xfId="4117" xr:uid="{00000000-0005-0000-0000-0000F4020000}"/>
    <cellStyle name="20% - Accent5 3 6 2 2" xfId="8339" xr:uid="{00000000-0005-0000-0000-0000F5020000}"/>
    <cellStyle name="20% - Accent5 3 6 2 2 2" xfId="16789" xr:uid="{1A769E1A-27AA-40D7-B199-3E9CB759D134}"/>
    <cellStyle name="20% - Accent5 3 6 2 3" xfId="12571" xr:uid="{24638AD3-A98A-4E0F-9466-090C0E3A18AE}"/>
    <cellStyle name="20% - Accent5 3 6 3" xfId="6194" xr:uid="{00000000-0005-0000-0000-0000F6020000}"/>
    <cellStyle name="20% - Accent5 3 6 3 2" xfId="14644" xr:uid="{60E3EAC4-0C46-401A-949B-25D5B78AF81F}"/>
    <cellStyle name="20% - Accent5 3 6 4" xfId="10426" xr:uid="{495BE589-97DB-4982-8DB3-7C3E74F37401}"/>
    <cellStyle name="20% - Accent5 3 7" xfId="2301" xr:uid="{00000000-0005-0000-0000-0000F7020000}"/>
    <cellStyle name="20% - Accent5 3 7 2" xfId="6607" xr:uid="{00000000-0005-0000-0000-0000F8020000}"/>
    <cellStyle name="20% - Accent5 3 7 2 2" xfId="15057" xr:uid="{F1B10479-7D97-4824-A262-70E66B524AA2}"/>
    <cellStyle name="20% - Accent5 3 7 3" xfId="10839" xr:uid="{360AAFE2-C39D-41B9-99B6-F786C0AA3EBE}"/>
    <cellStyle name="20% - Accent5 3 8" xfId="4541" xr:uid="{00000000-0005-0000-0000-0000F9020000}"/>
    <cellStyle name="20% - Accent5 3 8 2" xfId="12991" xr:uid="{DEAD8434-2591-479D-8E97-2EB63EDE2DE7}"/>
    <cellStyle name="20% - Accent5 3 9" xfId="8773" xr:uid="{01A58315-B24A-413F-90F8-C0E5A2DE71B3}"/>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2 2 2" xfId="15552" xr:uid="{80E6E05B-2F3E-45B4-892C-FE009170B926}"/>
    <cellStyle name="20% - Accent5 4 2 2 3" xfId="11334" xr:uid="{12D29A00-31FA-481E-9B59-0D4E7E7718F6}"/>
    <cellStyle name="20% - Accent5 4 2 3" xfId="4957" xr:uid="{00000000-0005-0000-0000-0000FE020000}"/>
    <cellStyle name="20% - Accent5 4 2 3 2" xfId="13407" xr:uid="{CE28EC16-D5F9-4159-9FA1-AB5EA42CB435}"/>
    <cellStyle name="20% - Accent5 4 2 4" xfId="9189" xr:uid="{C0DA2ADF-ED33-41F1-B9C9-13D3A5A0C1A7}"/>
    <cellStyle name="20% - Accent5 4 3" xfId="1062" xr:uid="{00000000-0005-0000-0000-0000FF020000}"/>
    <cellStyle name="20% - Accent5 4 3 2" xfId="3293" xr:uid="{00000000-0005-0000-0000-000000030000}"/>
    <cellStyle name="20% - Accent5 4 3 2 2" xfId="7515" xr:uid="{00000000-0005-0000-0000-000001030000}"/>
    <cellStyle name="20% - Accent5 4 3 2 2 2" xfId="15965" xr:uid="{DEB6421C-6CE0-4CAF-919D-E426B5CD2B3D}"/>
    <cellStyle name="20% - Accent5 4 3 2 3" xfId="11747" xr:uid="{DAF0F73C-0668-4803-92D0-A83FDC929006}"/>
    <cellStyle name="20% - Accent5 4 3 3" xfId="5370" xr:uid="{00000000-0005-0000-0000-000002030000}"/>
    <cellStyle name="20% - Accent5 4 3 3 2" xfId="13820" xr:uid="{AC808A6D-2911-4D09-B778-6D2D673AE56F}"/>
    <cellStyle name="20% - Accent5 4 3 4" xfId="9602" xr:uid="{841FC6A9-4CFB-4AF1-BEFA-282F37613D97}"/>
    <cellStyle name="20% - Accent5 4 4" xfId="1476" xr:uid="{00000000-0005-0000-0000-000003030000}"/>
    <cellStyle name="20% - Accent5 4 4 2" xfId="3706" xr:uid="{00000000-0005-0000-0000-000004030000}"/>
    <cellStyle name="20% - Accent5 4 4 2 2" xfId="7928" xr:uid="{00000000-0005-0000-0000-000005030000}"/>
    <cellStyle name="20% - Accent5 4 4 2 2 2" xfId="16378" xr:uid="{0D2437C2-EC23-4EDC-B0A4-AEC4E662F219}"/>
    <cellStyle name="20% - Accent5 4 4 2 3" xfId="12160" xr:uid="{33BFA88F-349E-41E5-8F08-80B7286E1B5E}"/>
    <cellStyle name="20% - Accent5 4 4 3" xfId="5783" xr:uid="{00000000-0005-0000-0000-000006030000}"/>
    <cellStyle name="20% - Accent5 4 4 3 2" xfId="14233" xr:uid="{45D9DD98-164A-4389-8945-825FA454067D}"/>
    <cellStyle name="20% - Accent5 4 4 4" xfId="10015" xr:uid="{10BD241B-D955-4911-9ED3-02700968E0D9}"/>
    <cellStyle name="20% - Accent5 4 5" xfId="1890" xr:uid="{00000000-0005-0000-0000-000007030000}"/>
    <cellStyle name="20% - Accent5 4 5 2" xfId="4119" xr:uid="{00000000-0005-0000-0000-000008030000}"/>
    <cellStyle name="20% - Accent5 4 5 2 2" xfId="8341" xr:uid="{00000000-0005-0000-0000-000009030000}"/>
    <cellStyle name="20% - Accent5 4 5 2 2 2" xfId="16791" xr:uid="{C19E5BE5-E529-45CA-BF6A-8EF67BBCCB76}"/>
    <cellStyle name="20% - Accent5 4 5 2 3" xfId="12573" xr:uid="{6CED6918-96EF-45B9-BB10-1362CF1C7551}"/>
    <cellStyle name="20% - Accent5 4 5 3" xfId="6196" xr:uid="{00000000-0005-0000-0000-00000A030000}"/>
    <cellStyle name="20% - Accent5 4 5 3 2" xfId="14646" xr:uid="{BA886306-5416-4721-B791-CC68D907E86D}"/>
    <cellStyle name="20% - Accent5 4 5 4" xfId="10428" xr:uid="{2C4A3748-ED1E-41F1-80B2-8ABA576AF9C5}"/>
    <cellStyle name="20% - Accent5 4 6" xfId="2303" xr:uid="{00000000-0005-0000-0000-00000B030000}"/>
    <cellStyle name="20% - Accent5 4 6 2" xfId="6609" xr:uid="{00000000-0005-0000-0000-00000C030000}"/>
    <cellStyle name="20% - Accent5 4 6 2 2" xfId="15059" xr:uid="{7E757CBA-B25F-49DF-AFE2-09E8F42DABD7}"/>
    <cellStyle name="20% - Accent5 4 6 3" xfId="10841" xr:uid="{8FA3E936-45E4-4E30-BB7E-6088B333408D}"/>
    <cellStyle name="20% - Accent5 4 7" xfId="4543" xr:uid="{00000000-0005-0000-0000-00000D030000}"/>
    <cellStyle name="20% - Accent5 4 7 2" xfId="12993" xr:uid="{AF1E40E2-7956-40A0-9D89-89F68FB86EF7}"/>
    <cellStyle name="20% - Accent5 4 8" xfId="8775" xr:uid="{F52EF05F-D37C-48A0-9FBF-7EC42151CB84}"/>
    <cellStyle name="20% - Accent5 5" xfId="602" xr:uid="{00000000-0005-0000-0000-00000E030000}"/>
    <cellStyle name="20% - Accent5 5 2" xfId="2873" xr:uid="{00000000-0005-0000-0000-00000F030000}"/>
    <cellStyle name="20% - Accent5 5 2 2" xfId="7095" xr:uid="{00000000-0005-0000-0000-000010030000}"/>
    <cellStyle name="20% - Accent5 5 2 2 2" xfId="15545" xr:uid="{03A1DEBC-0470-4896-B80E-7A0A41C49A5F}"/>
    <cellStyle name="20% - Accent5 5 2 3" xfId="11327" xr:uid="{02979037-C8C3-4CF5-86BD-3222666A6560}"/>
    <cellStyle name="20% - Accent5 5 3" xfId="4950" xr:uid="{00000000-0005-0000-0000-000011030000}"/>
    <cellStyle name="20% - Accent5 5 3 2" xfId="13400" xr:uid="{B47086FE-D23F-48F7-8DE9-7220D24F1178}"/>
    <cellStyle name="20% - Accent5 5 4" xfId="9182" xr:uid="{37A90C05-1EEE-475D-9097-FCE2FA9123EC}"/>
    <cellStyle name="20% - Accent5 6" xfId="1055" xr:uid="{00000000-0005-0000-0000-000012030000}"/>
    <cellStyle name="20% - Accent5 6 2" xfId="3286" xr:uid="{00000000-0005-0000-0000-000013030000}"/>
    <cellStyle name="20% - Accent5 6 2 2" xfId="7508" xr:uid="{00000000-0005-0000-0000-000014030000}"/>
    <cellStyle name="20% - Accent5 6 2 2 2" xfId="15958" xr:uid="{C7B604D7-72AE-4ACD-89F0-CCE0556B4CAE}"/>
    <cellStyle name="20% - Accent5 6 2 3" xfId="11740" xr:uid="{F5C322C1-3BEB-41B6-8353-0967EE0D34A5}"/>
    <cellStyle name="20% - Accent5 6 3" xfId="5363" xr:uid="{00000000-0005-0000-0000-000015030000}"/>
    <cellStyle name="20% - Accent5 6 3 2" xfId="13813" xr:uid="{009F1172-F58E-439D-89ED-2A3345F8ED03}"/>
    <cellStyle name="20% - Accent5 6 4" xfId="9595" xr:uid="{AE2F4E29-89C3-48D6-A121-0DB18A850CEF}"/>
    <cellStyle name="20% - Accent5 7" xfId="1469" xr:uid="{00000000-0005-0000-0000-000016030000}"/>
    <cellStyle name="20% - Accent5 7 2" xfId="3699" xr:uid="{00000000-0005-0000-0000-000017030000}"/>
    <cellStyle name="20% - Accent5 7 2 2" xfId="7921" xr:uid="{00000000-0005-0000-0000-000018030000}"/>
    <cellStyle name="20% - Accent5 7 2 2 2" xfId="16371" xr:uid="{6D6F965D-D4CB-40A6-B36D-5478D06232D7}"/>
    <cellStyle name="20% - Accent5 7 2 3" xfId="12153" xr:uid="{5C4E5B19-FED9-4967-8871-AEA28D9384F4}"/>
    <cellStyle name="20% - Accent5 7 3" xfId="5776" xr:uid="{00000000-0005-0000-0000-000019030000}"/>
    <cellStyle name="20% - Accent5 7 3 2" xfId="14226" xr:uid="{E4CDF9C4-20C0-4AF5-B6DD-EA0165F7D88B}"/>
    <cellStyle name="20% - Accent5 7 4" xfId="10008" xr:uid="{1FD3D74C-C579-4661-9272-CA21A9F54464}"/>
    <cellStyle name="20% - Accent5 8" xfId="1883" xr:uid="{00000000-0005-0000-0000-00001A030000}"/>
    <cellStyle name="20% - Accent5 8 2" xfId="4112" xr:uid="{00000000-0005-0000-0000-00001B030000}"/>
    <cellStyle name="20% - Accent5 8 2 2" xfId="8334" xr:uid="{00000000-0005-0000-0000-00001C030000}"/>
    <cellStyle name="20% - Accent5 8 2 2 2" xfId="16784" xr:uid="{36B3933C-57CA-4670-B16C-E2AB138CF46C}"/>
    <cellStyle name="20% - Accent5 8 2 3" xfId="12566" xr:uid="{D7B31D88-4F22-4C73-8822-31D4EA5E6572}"/>
    <cellStyle name="20% - Accent5 8 3" xfId="6189" xr:uid="{00000000-0005-0000-0000-00001D030000}"/>
    <cellStyle name="20% - Accent5 8 3 2" xfId="14639" xr:uid="{FF9D7D96-45EC-4A70-80EA-EE298D99812D}"/>
    <cellStyle name="20% - Accent5 8 4" xfId="10421" xr:uid="{C54F37E8-8902-42F3-ACF7-0066D068D5E0}"/>
    <cellStyle name="20% - Accent5 9" xfId="2296" xr:uid="{00000000-0005-0000-0000-00001E030000}"/>
    <cellStyle name="20% - Accent5 9 2" xfId="6602" xr:uid="{00000000-0005-0000-0000-00001F030000}"/>
    <cellStyle name="20% - Accent5 9 2 2" xfId="15052" xr:uid="{F6973132-64EB-4742-9013-708C4E757B55}"/>
    <cellStyle name="20% - Accent5 9 3" xfId="10834" xr:uid="{92811BF2-220D-407F-8C32-51982FAE153A}"/>
    <cellStyle name="20% - Accent6" xfId="41" builtinId="50" customBuiltin="1"/>
    <cellStyle name="20% - Accent6 10" xfId="4544" xr:uid="{00000000-0005-0000-0000-000021030000}"/>
    <cellStyle name="20% - Accent6 10 2" xfId="12994" xr:uid="{16B9FDAC-E4DE-4C44-96E1-B86940EF1868}"/>
    <cellStyle name="20% - Accent6 11" xfId="8776" xr:uid="{D0C57952-E681-446A-8DEA-EF5DA2220B0B}"/>
    <cellStyle name="20% - Accent6 2" xfId="42" xr:uid="{00000000-0005-0000-0000-000022030000}"/>
    <cellStyle name="20% - Accent6 2 10" xfId="8777" xr:uid="{C3ADFD52-193B-47ED-A826-04AACADCAB83}"/>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2 2 2" xfId="15556" xr:uid="{0646B0C2-B62E-4886-BCBC-DC1C3A617CE7}"/>
    <cellStyle name="20% - Accent6 2 2 2 2 2 3" xfId="11338" xr:uid="{1728C7E5-68BE-42E1-B30B-0001BC6443D6}"/>
    <cellStyle name="20% - Accent6 2 2 2 2 3" xfId="4961" xr:uid="{00000000-0005-0000-0000-000028030000}"/>
    <cellStyle name="20% - Accent6 2 2 2 2 3 2" xfId="13411" xr:uid="{3F45C5FC-1AC6-4C68-886E-9DBDE69631C7}"/>
    <cellStyle name="20% - Accent6 2 2 2 2 4" xfId="9193" xr:uid="{FA9889AA-5F7D-47B5-9A0B-04C8685DCC5D}"/>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2 2 2" xfId="15969" xr:uid="{6F48A810-57AF-4A33-8D88-381C72F11D55}"/>
    <cellStyle name="20% - Accent6 2 2 2 3 2 3" xfId="11751" xr:uid="{2B328FBC-530B-4517-B438-B805EC8CAB42}"/>
    <cellStyle name="20% - Accent6 2 2 2 3 3" xfId="5374" xr:uid="{00000000-0005-0000-0000-00002C030000}"/>
    <cellStyle name="20% - Accent6 2 2 2 3 3 2" xfId="13824" xr:uid="{B1CF0669-10A6-4076-9579-E2C9C032ECFD}"/>
    <cellStyle name="20% - Accent6 2 2 2 3 4" xfId="9606" xr:uid="{A9CA8BF1-4D14-4925-97ED-436AD7EF983C}"/>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2 2 2" xfId="16382" xr:uid="{316EFEBE-6A0A-4803-9717-9B91858E2D10}"/>
    <cellStyle name="20% - Accent6 2 2 2 4 2 3" xfId="12164" xr:uid="{B2B2D7A8-C6BC-4FC8-86CD-B17B3B6ED426}"/>
    <cellStyle name="20% - Accent6 2 2 2 4 3" xfId="5787" xr:uid="{00000000-0005-0000-0000-000030030000}"/>
    <cellStyle name="20% - Accent6 2 2 2 4 3 2" xfId="14237" xr:uid="{C7209276-AC91-4F9A-BFB2-ACE131A9EFEF}"/>
    <cellStyle name="20% - Accent6 2 2 2 4 4" xfId="10019" xr:uid="{C3F43BAF-2CFE-4EA1-9F94-765209D62C46}"/>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2 2 2" xfId="16795" xr:uid="{F2F48C28-82FC-485E-AA0F-04A61C6AAB17}"/>
    <cellStyle name="20% - Accent6 2 2 2 5 2 3" xfId="12577" xr:uid="{C7A46D7C-B544-43C2-86AB-EF083561E647}"/>
    <cellStyle name="20% - Accent6 2 2 2 5 3" xfId="6200" xr:uid="{00000000-0005-0000-0000-000034030000}"/>
    <cellStyle name="20% - Accent6 2 2 2 5 3 2" xfId="14650" xr:uid="{10394966-E383-4C56-8503-C100DE26D0D3}"/>
    <cellStyle name="20% - Accent6 2 2 2 5 4" xfId="10432" xr:uid="{3281536F-E785-40CD-B9D9-C693DB23B14A}"/>
    <cellStyle name="20% - Accent6 2 2 2 6" xfId="2307" xr:uid="{00000000-0005-0000-0000-000035030000}"/>
    <cellStyle name="20% - Accent6 2 2 2 6 2" xfId="6613" xr:uid="{00000000-0005-0000-0000-000036030000}"/>
    <cellStyle name="20% - Accent6 2 2 2 6 2 2" xfId="15063" xr:uid="{119BCB77-81FF-48A7-959D-2A9AEDF138B4}"/>
    <cellStyle name="20% - Accent6 2 2 2 6 3" xfId="10845" xr:uid="{391F469E-AB3A-40E9-A195-61F994CDA9F3}"/>
    <cellStyle name="20% - Accent6 2 2 2 7" xfId="4547" xr:uid="{00000000-0005-0000-0000-000037030000}"/>
    <cellStyle name="20% - Accent6 2 2 2 7 2" xfId="12997" xr:uid="{08B31151-406C-4F21-9F71-E368A9A9AD06}"/>
    <cellStyle name="20% - Accent6 2 2 2 8" xfId="8779" xr:uid="{61B24213-E17A-4B5F-B556-DD15EE9137FB}"/>
    <cellStyle name="20% - Accent6 2 2 3" xfId="612" xr:uid="{00000000-0005-0000-0000-000038030000}"/>
    <cellStyle name="20% - Accent6 2 2 3 2" xfId="2883" xr:uid="{00000000-0005-0000-0000-000039030000}"/>
    <cellStyle name="20% - Accent6 2 2 3 2 2" xfId="7105" xr:uid="{00000000-0005-0000-0000-00003A030000}"/>
    <cellStyle name="20% - Accent6 2 2 3 2 2 2" xfId="15555" xr:uid="{81C9C80E-D12E-4292-8888-7D5EA669AE71}"/>
    <cellStyle name="20% - Accent6 2 2 3 2 3" xfId="11337" xr:uid="{7C1110E8-22ED-4C4C-B681-958BAA9669E6}"/>
    <cellStyle name="20% - Accent6 2 2 3 3" xfId="4960" xr:uid="{00000000-0005-0000-0000-00003B030000}"/>
    <cellStyle name="20% - Accent6 2 2 3 3 2" xfId="13410" xr:uid="{EDCF86F2-3D41-48AD-AA65-E8867D6FD8B3}"/>
    <cellStyle name="20% - Accent6 2 2 3 4" xfId="9192" xr:uid="{6F4A2783-3526-458D-9AE8-089ECF3F6D36}"/>
    <cellStyle name="20% - Accent6 2 2 4" xfId="1065" xr:uid="{00000000-0005-0000-0000-00003C030000}"/>
    <cellStyle name="20% - Accent6 2 2 4 2" xfId="3296" xr:uid="{00000000-0005-0000-0000-00003D030000}"/>
    <cellStyle name="20% - Accent6 2 2 4 2 2" xfId="7518" xr:uid="{00000000-0005-0000-0000-00003E030000}"/>
    <cellStyle name="20% - Accent6 2 2 4 2 2 2" xfId="15968" xr:uid="{2A40A865-5E01-4D79-A89D-7D701EFB1869}"/>
    <cellStyle name="20% - Accent6 2 2 4 2 3" xfId="11750" xr:uid="{015F2BDD-CA56-44CD-B3C7-3AE31183F4B1}"/>
    <cellStyle name="20% - Accent6 2 2 4 3" xfId="5373" xr:uid="{00000000-0005-0000-0000-00003F030000}"/>
    <cellStyle name="20% - Accent6 2 2 4 3 2" xfId="13823" xr:uid="{0BB7193B-3B20-47D8-919C-E4BB609850A8}"/>
    <cellStyle name="20% - Accent6 2 2 4 4" xfId="9605" xr:uid="{19C4EA42-042C-4E7E-BB52-750933AD8DBE}"/>
    <cellStyle name="20% - Accent6 2 2 5" xfId="1479" xr:uid="{00000000-0005-0000-0000-000040030000}"/>
    <cellStyle name="20% - Accent6 2 2 5 2" xfId="3709" xr:uid="{00000000-0005-0000-0000-000041030000}"/>
    <cellStyle name="20% - Accent6 2 2 5 2 2" xfId="7931" xr:uid="{00000000-0005-0000-0000-000042030000}"/>
    <cellStyle name="20% - Accent6 2 2 5 2 2 2" xfId="16381" xr:uid="{81A84C1D-7B2A-486C-BEA4-CAC80FC5A70C}"/>
    <cellStyle name="20% - Accent6 2 2 5 2 3" xfId="12163" xr:uid="{02B13578-5F4F-4B61-BD9B-2426EC8FB6DB}"/>
    <cellStyle name="20% - Accent6 2 2 5 3" xfId="5786" xr:uid="{00000000-0005-0000-0000-000043030000}"/>
    <cellStyle name="20% - Accent6 2 2 5 3 2" xfId="14236" xr:uid="{3FDC0539-1B4A-4C86-BB6C-70A9F25B51B6}"/>
    <cellStyle name="20% - Accent6 2 2 5 4" xfId="10018" xr:uid="{2E2DCA1F-EFF1-4C99-AEF8-DE65F6BF0444}"/>
    <cellStyle name="20% - Accent6 2 2 6" xfId="1893" xr:uid="{00000000-0005-0000-0000-000044030000}"/>
    <cellStyle name="20% - Accent6 2 2 6 2" xfId="4122" xr:uid="{00000000-0005-0000-0000-000045030000}"/>
    <cellStyle name="20% - Accent6 2 2 6 2 2" xfId="8344" xr:uid="{00000000-0005-0000-0000-000046030000}"/>
    <cellStyle name="20% - Accent6 2 2 6 2 2 2" xfId="16794" xr:uid="{51B7E809-E863-4945-8B36-F0EDD8142221}"/>
    <cellStyle name="20% - Accent6 2 2 6 2 3" xfId="12576" xr:uid="{812F1A90-23BA-44E5-A024-6B8126B16E68}"/>
    <cellStyle name="20% - Accent6 2 2 6 3" xfId="6199" xr:uid="{00000000-0005-0000-0000-000047030000}"/>
    <cellStyle name="20% - Accent6 2 2 6 3 2" xfId="14649" xr:uid="{45E90D4F-304F-4DC4-BB0F-D75EF9628C4B}"/>
    <cellStyle name="20% - Accent6 2 2 6 4" xfId="10431" xr:uid="{04941E34-BA48-417B-9D62-961E21B10BE3}"/>
    <cellStyle name="20% - Accent6 2 2 7" xfId="2306" xr:uid="{00000000-0005-0000-0000-000048030000}"/>
    <cellStyle name="20% - Accent6 2 2 7 2" xfId="6612" xr:uid="{00000000-0005-0000-0000-000049030000}"/>
    <cellStyle name="20% - Accent6 2 2 7 2 2" xfId="15062" xr:uid="{2D525487-53EE-42D7-AEC2-2460AB17C67B}"/>
    <cellStyle name="20% - Accent6 2 2 7 3" xfId="10844" xr:uid="{23DBCCF3-2FC2-4870-8C53-DB8D0A4C683B}"/>
    <cellStyle name="20% - Accent6 2 2 8" xfId="4546" xr:uid="{00000000-0005-0000-0000-00004A030000}"/>
    <cellStyle name="20% - Accent6 2 2 8 2" xfId="12996" xr:uid="{8A6C324B-AF56-42E7-B550-6B53F23CC4F2}"/>
    <cellStyle name="20% - Accent6 2 2 9" xfId="8778" xr:uid="{385D7972-DF48-4677-A8E7-AEEA4F1696C5}"/>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2 2 2" xfId="15557" xr:uid="{B9DC62FD-7066-4AA3-A2DF-C8D0656D5FD9}"/>
    <cellStyle name="20% - Accent6 2 3 2 2 3" xfId="11339" xr:uid="{B353C594-367F-4FCF-B2A5-1E916736E5AF}"/>
    <cellStyle name="20% - Accent6 2 3 2 3" xfId="4962" xr:uid="{00000000-0005-0000-0000-00004F030000}"/>
    <cellStyle name="20% - Accent6 2 3 2 3 2" xfId="13412" xr:uid="{3A046BD4-19A0-474B-8807-82D487C4FCA7}"/>
    <cellStyle name="20% - Accent6 2 3 2 4" xfId="9194" xr:uid="{FFC0691A-F6AD-44DC-ADDA-6D4F2DF78B05}"/>
    <cellStyle name="20% - Accent6 2 3 3" xfId="1067" xr:uid="{00000000-0005-0000-0000-000050030000}"/>
    <cellStyle name="20% - Accent6 2 3 3 2" xfId="3298" xr:uid="{00000000-0005-0000-0000-000051030000}"/>
    <cellStyle name="20% - Accent6 2 3 3 2 2" xfId="7520" xr:uid="{00000000-0005-0000-0000-000052030000}"/>
    <cellStyle name="20% - Accent6 2 3 3 2 2 2" xfId="15970" xr:uid="{E8D1FB0E-86E8-41C4-94CD-E3E16B77ED51}"/>
    <cellStyle name="20% - Accent6 2 3 3 2 3" xfId="11752" xr:uid="{25E1A7EE-BDB0-4EFF-A82E-EE29822A7388}"/>
    <cellStyle name="20% - Accent6 2 3 3 3" xfId="5375" xr:uid="{00000000-0005-0000-0000-000053030000}"/>
    <cellStyle name="20% - Accent6 2 3 3 3 2" xfId="13825" xr:uid="{F07133AB-3626-4C3D-A87A-A9E0D661F0D4}"/>
    <cellStyle name="20% - Accent6 2 3 3 4" xfId="9607" xr:uid="{9D33D790-BF9F-4235-A533-BA08BFD87736}"/>
    <cellStyle name="20% - Accent6 2 3 4" xfId="1481" xr:uid="{00000000-0005-0000-0000-000054030000}"/>
    <cellStyle name="20% - Accent6 2 3 4 2" xfId="3711" xr:uid="{00000000-0005-0000-0000-000055030000}"/>
    <cellStyle name="20% - Accent6 2 3 4 2 2" xfId="7933" xr:uid="{00000000-0005-0000-0000-000056030000}"/>
    <cellStyle name="20% - Accent6 2 3 4 2 2 2" xfId="16383" xr:uid="{AD523EDD-D2F1-46D9-A312-139F9F874D97}"/>
    <cellStyle name="20% - Accent6 2 3 4 2 3" xfId="12165" xr:uid="{62E1325A-48AA-4A36-9869-19DBEB7CA88E}"/>
    <cellStyle name="20% - Accent6 2 3 4 3" xfId="5788" xr:uid="{00000000-0005-0000-0000-000057030000}"/>
    <cellStyle name="20% - Accent6 2 3 4 3 2" xfId="14238" xr:uid="{7CDD110E-8693-4095-8816-200C7DD7D860}"/>
    <cellStyle name="20% - Accent6 2 3 4 4" xfId="10020" xr:uid="{08E63CF9-D35A-4230-9EDA-71F9FA96856E}"/>
    <cellStyle name="20% - Accent6 2 3 5" xfId="1895" xr:uid="{00000000-0005-0000-0000-000058030000}"/>
    <cellStyle name="20% - Accent6 2 3 5 2" xfId="4124" xr:uid="{00000000-0005-0000-0000-000059030000}"/>
    <cellStyle name="20% - Accent6 2 3 5 2 2" xfId="8346" xr:uid="{00000000-0005-0000-0000-00005A030000}"/>
    <cellStyle name="20% - Accent6 2 3 5 2 2 2" xfId="16796" xr:uid="{F95064CB-54BF-44B1-8633-6AB61CA7470B}"/>
    <cellStyle name="20% - Accent6 2 3 5 2 3" xfId="12578" xr:uid="{5EC57625-79F3-4777-A9C1-A68E5E6D226D}"/>
    <cellStyle name="20% - Accent6 2 3 5 3" xfId="6201" xr:uid="{00000000-0005-0000-0000-00005B030000}"/>
    <cellStyle name="20% - Accent6 2 3 5 3 2" xfId="14651" xr:uid="{D1F36A22-CD25-458B-B1A6-2244ECF7C24A}"/>
    <cellStyle name="20% - Accent6 2 3 5 4" xfId="10433" xr:uid="{511A559B-C72C-47C9-9AC8-4408F4C750BE}"/>
    <cellStyle name="20% - Accent6 2 3 6" xfId="2308" xr:uid="{00000000-0005-0000-0000-00005C030000}"/>
    <cellStyle name="20% - Accent6 2 3 6 2" xfId="6614" xr:uid="{00000000-0005-0000-0000-00005D030000}"/>
    <cellStyle name="20% - Accent6 2 3 6 2 2" xfId="15064" xr:uid="{80DC9376-991E-451E-BB1B-729CF4B79375}"/>
    <cellStyle name="20% - Accent6 2 3 6 3" xfId="10846" xr:uid="{2A7F344D-9F1A-4654-B08B-52C86BD7AAD4}"/>
    <cellStyle name="20% - Accent6 2 3 7" xfId="4548" xr:uid="{00000000-0005-0000-0000-00005E030000}"/>
    <cellStyle name="20% - Accent6 2 3 7 2" xfId="12998" xr:uid="{3795AAF9-C8CD-475E-9B15-B603A854F6A6}"/>
    <cellStyle name="20% - Accent6 2 3 8" xfId="8780" xr:uid="{5D618746-BFE1-483C-87D7-2BE8A28482E7}"/>
    <cellStyle name="20% - Accent6 2 4" xfId="611" xr:uid="{00000000-0005-0000-0000-00005F030000}"/>
    <cellStyle name="20% - Accent6 2 4 2" xfId="2882" xr:uid="{00000000-0005-0000-0000-000060030000}"/>
    <cellStyle name="20% - Accent6 2 4 2 2" xfId="7104" xr:uid="{00000000-0005-0000-0000-000061030000}"/>
    <cellStyle name="20% - Accent6 2 4 2 2 2" xfId="15554" xr:uid="{9542B39B-8355-46FE-84FC-80FB265AB6F1}"/>
    <cellStyle name="20% - Accent6 2 4 2 3" xfId="11336" xr:uid="{9C7CBCF3-274C-4990-A897-970421A98381}"/>
    <cellStyle name="20% - Accent6 2 4 3" xfId="4959" xr:uid="{00000000-0005-0000-0000-000062030000}"/>
    <cellStyle name="20% - Accent6 2 4 3 2" xfId="13409" xr:uid="{F3E9B3F4-FA09-4F4B-BA55-95876F78DB31}"/>
    <cellStyle name="20% - Accent6 2 4 4" xfId="9191" xr:uid="{24694EA0-5DF1-4AB4-B547-D81C0EB08022}"/>
    <cellStyle name="20% - Accent6 2 5" xfId="1064" xr:uid="{00000000-0005-0000-0000-000063030000}"/>
    <cellStyle name="20% - Accent6 2 5 2" xfId="3295" xr:uid="{00000000-0005-0000-0000-000064030000}"/>
    <cellStyle name="20% - Accent6 2 5 2 2" xfId="7517" xr:uid="{00000000-0005-0000-0000-000065030000}"/>
    <cellStyle name="20% - Accent6 2 5 2 2 2" xfId="15967" xr:uid="{6E832FCF-16B6-4919-BD5C-6D9A92DF81F4}"/>
    <cellStyle name="20% - Accent6 2 5 2 3" xfId="11749" xr:uid="{3F0DD37C-10E4-4607-B856-456D7E227E19}"/>
    <cellStyle name="20% - Accent6 2 5 3" xfId="5372" xr:uid="{00000000-0005-0000-0000-000066030000}"/>
    <cellStyle name="20% - Accent6 2 5 3 2" xfId="13822" xr:uid="{B570F0B1-83A2-415B-A202-805D0C439297}"/>
    <cellStyle name="20% - Accent6 2 5 4" xfId="9604" xr:uid="{7949E6EE-2946-4C7B-BD69-324D223A2A70}"/>
    <cellStyle name="20% - Accent6 2 6" xfId="1478" xr:uid="{00000000-0005-0000-0000-000067030000}"/>
    <cellStyle name="20% - Accent6 2 6 2" xfId="3708" xr:uid="{00000000-0005-0000-0000-000068030000}"/>
    <cellStyle name="20% - Accent6 2 6 2 2" xfId="7930" xr:uid="{00000000-0005-0000-0000-000069030000}"/>
    <cellStyle name="20% - Accent6 2 6 2 2 2" xfId="16380" xr:uid="{8336C395-9665-4265-92BF-D5DCA2EB9BF4}"/>
    <cellStyle name="20% - Accent6 2 6 2 3" xfId="12162" xr:uid="{7828A608-97C8-4518-96D1-C21E0D32BC3B}"/>
    <cellStyle name="20% - Accent6 2 6 3" xfId="5785" xr:uid="{00000000-0005-0000-0000-00006A030000}"/>
    <cellStyle name="20% - Accent6 2 6 3 2" xfId="14235" xr:uid="{AC28620B-BCF5-4F92-BC3A-4FE5E21D5881}"/>
    <cellStyle name="20% - Accent6 2 6 4" xfId="10017" xr:uid="{A581AE9F-9534-4B77-AE81-7D977066D441}"/>
    <cellStyle name="20% - Accent6 2 7" xfId="1892" xr:uid="{00000000-0005-0000-0000-00006B030000}"/>
    <cellStyle name="20% - Accent6 2 7 2" xfId="4121" xr:uid="{00000000-0005-0000-0000-00006C030000}"/>
    <cellStyle name="20% - Accent6 2 7 2 2" xfId="8343" xr:uid="{00000000-0005-0000-0000-00006D030000}"/>
    <cellStyle name="20% - Accent6 2 7 2 2 2" xfId="16793" xr:uid="{C99D87A3-778A-41EA-A5EE-571C5DFB4DF3}"/>
    <cellStyle name="20% - Accent6 2 7 2 3" xfId="12575" xr:uid="{00DC80E0-B0EE-4E3E-8045-42DD71E2110D}"/>
    <cellStyle name="20% - Accent6 2 7 3" xfId="6198" xr:uid="{00000000-0005-0000-0000-00006E030000}"/>
    <cellStyle name="20% - Accent6 2 7 3 2" xfId="14648" xr:uid="{EE5BD9A2-2CBF-4604-A964-9B51B0B7BC35}"/>
    <cellStyle name="20% - Accent6 2 7 4" xfId="10430" xr:uid="{035372FF-3EB8-481C-843E-570959418BC4}"/>
    <cellStyle name="20% - Accent6 2 8" xfId="2305" xr:uid="{00000000-0005-0000-0000-00006F030000}"/>
    <cellStyle name="20% - Accent6 2 8 2" xfId="6611" xr:uid="{00000000-0005-0000-0000-000070030000}"/>
    <cellStyle name="20% - Accent6 2 8 2 2" xfId="15061" xr:uid="{FBBFA693-7083-4933-94BF-78BE8589CBF8}"/>
    <cellStyle name="20% - Accent6 2 8 3" xfId="10843" xr:uid="{216E5A5D-E4BE-49F5-ACB2-9D277638509B}"/>
    <cellStyle name="20% - Accent6 2 9" xfId="4545" xr:uid="{00000000-0005-0000-0000-000071030000}"/>
    <cellStyle name="20% - Accent6 2 9 2" xfId="12995" xr:uid="{8320E609-BB89-418C-8D4E-F908AC98BE6D}"/>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2 2 2" xfId="15559" xr:uid="{F9738226-A9BC-42F0-8B25-5AA763A63091}"/>
    <cellStyle name="20% - Accent6 3 2 2 2 3" xfId="11341" xr:uid="{5E16B093-24D0-4B75-B626-2F46362491E4}"/>
    <cellStyle name="20% - Accent6 3 2 2 3" xfId="4964" xr:uid="{00000000-0005-0000-0000-000077030000}"/>
    <cellStyle name="20% - Accent6 3 2 2 3 2" xfId="13414" xr:uid="{87605DD8-4073-4C5B-B5C0-8277272C12A7}"/>
    <cellStyle name="20% - Accent6 3 2 2 4" xfId="9196" xr:uid="{3B756139-BC54-4AD6-A2FE-773F74BB9042}"/>
    <cellStyle name="20% - Accent6 3 2 3" xfId="1069" xr:uid="{00000000-0005-0000-0000-000078030000}"/>
    <cellStyle name="20% - Accent6 3 2 3 2" xfId="3300" xr:uid="{00000000-0005-0000-0000-000079030000}"/>
    <cellStyle name="20% - Accent6 3 2 3 2 2" xfId="7522" xr:uid="{00000000-0005-0000-0000-00007A030000}"/>
    <cellStyle name="20% - Accent6 3 2 3 2 2 2" xfId="15972" xr:uid="{8D4C50CD-E9BF-407B-A2CD-78BD14A6C4D4}"/>
    <cellStyle name="20% - Accent6 3 2 3 2 3" xfId="11754" xr:uid="{0E02D8C5-9472-4CB3-8384-BE4EAC6E477A}"/>
    <cellStyle name="20% - Accent6 3 2 3 3" xfId="5377" xr:uid="{00000000-0005-0000-0000-00007B030000}"/>
    <cellStyle name="20% - Accent6 3 2 3 3 2" xfId="13827" xr:uid="{15E124B7-A45D-47F9-B5E4-3B216E48DE6D}"/>
    <cellStyle name="20% - Accent6 3 2 3 4" xfId="9609" xr:uid="{0C41D2E5-0BA7-4622-A50E-2275AFF885AD}"/>
    <cellStyle name="20% - Accent6 3 2 4" xfId="1483" xr:uid="{00000000-0005-0000-0000-00007C030000}"/>
    <cellStyle name="20% - Accent6 3 2 4 2" xfId="3713" xr:uid="{00000000-0005-0000-0000-00007D030000}"/>
    <cellStyle name="20% - Accent6 3 2 4 2 2" xfId="7935" xr:uid="{00000000-0005-0000-0000-00007E030000}"/>
    <cellStyle name="20% - Accent6 3 2 4 2 2 2" xfId="16385" xr:uid="{51341606-27D2-4A12-BFA8-AD5C71EDAF4B}"/>
    <cellStyle name="20% - Accent6 3 2 4 2 3" xfId="12167" xr:uid="{E768E9D0-0922-4CF4-A737-414266E35FDC}"/>
    <cellStyle name="20% - Accent6 3 2 4 3" xfId="5790" xr:uid="{00000000-0005-0000-0000-00007F030000}"/>
    <cellStyle name="20% - Accent6 3 2 4 3 2" xfId="14240" xr:uid="{DFE02AE2-7D75-4C06-BD30-DEC752C16862}"/>
    <cellStyle name="20% - Accent6 3 2 4 4" xfId="10022" xr:uid="{788DAEC6-C201-4C03-936A-498D77F4F49C}"/>
    <cellStyle name="20% - Accent6 3 2 5" xfId="1897" xr:uid="{00000000-0005-0000-0000-000080030000}"/>
    <cellStyle name="20% - Accent6 3 2 5 2" xfId="4126" xr:uid="{00000000-0005-0000-0000-000081030000}"/>
    <cellStyle name="20% - Accent6 3 2 5 2 2" xfId="8348" xr:uid="{00000000-0005-0000-0000-000082030000}"/>
    <cellStyle name="20% - Accent6 3 2 5 2 2 2" xfId="16798" xr:uid="{34D6103E-6AB7-45EE-BA5F-276387BA60E0}"/>
    <cellStyle name="20% - Accent6 3 2 5 2 3" xfId="12580" xr:uid="{99E5A00E-157D-41FD-8A0E-0CFF32FB427A}"/>
    <cellStyle name="20% - Accent6 3 2 5 3" xfId="6203" xr:uid="{00000000-0005-0000-0000-000083030000}"/>
    <cellStyle name="20% - Accent6 3 2 5 3 2" xfId="14653" xr:uid="{B00D7262-EA2C-4A16-B379-5AF924B75261}"/>
    <cellStyle name="20% - Accent6 3 2 5 4" xfId="10435" xr:uid="{DC74CEB6-E3CD-49F6-86D0-B093DF19DCFA}"/>
    <cellStyle name="20% - Accent6 3 2 6" xfId="2310" xr:uid="{00000000-0005-0000-0000-000084030000}"/>
    <cellStyle name="20% - Accent6 3 2 6 2" xfId="6616" xr:uid="{00000000-0005-0000-0000-000085030000}"/>
    <cellStyle name="20% - Accent6 3 2 6 2 2" xfId="15066" xr:uid="{4150DD87-B45E-4043-953E-3FEED34E6FA9}"/>
    <cellStyle name="20% - Accent6 3 2 6 3" xfId="10848" xr:uid="{478487B9-E443-4007-95C6-FAC1994CF66F}"/>
    <cellStyle name="20% - Accent6 3 2 7" xfId="4550" xr:uid="{00000000-0005-0000-0000-000086030000}"/>
    <cellStyle name="20% - Accent6 3 2 7 2" xfId="13000" xr:uid="{BBB7649D-AE94-480C-A263-EF686EA1B5AC}"/>
    <cellStyle name="20% - Accent6 3 2 8" xfId="8782" xr:uid="{D2228CF2-2EA2-4D69-ACC1-F776D6E8894F}"/>
    <cellStyle name="20% - Accent6 3 3" xfId="615" xr:uid="{00000000-0005-0000-0000-000087030000}"/>
    <cellStyle name="20% - Accent6 3 3 2" xfId="2886" xr:uid="{00000000-0005-0000-0000-000088030000}"/>
    <cellStyle name="20% - Accent6 3 3 2 2" xfId="7108" xr:uid="{00000000-0005-0000-0000-000089030000}"/>
    <cellStyle name="20% - Accent6 3 3 2 2 2" xfId="15558" xr:uid="{6A443785-42B1-478C-B41D-7A496A36AAED}"/>
    <cellStyle name="20% - Accent6 3 3 2 3" xfId="11340" xr:uid="{6721D81B-882C-4515-AB65-2C8F94FC6A40}"/>
    <cellStyle name="20% - Accent6 3 3 3" xfId="4963" xr:uid="{00000000-0005-0000-0000-00008A030000}"/>
    <cellStyle name="20% - Accent6 3 3 3 2" xfId="13413" xr:uid="{849AFE76-DAC3-4788-BF05-E1CD0F465CE5}"/>
    <cellStyle name="20% - Accent6 3 3 4" xfId="9195" xr:uid="{67F02DF4-D311-4DBF-B846-A92B65116A99}"/>
    <cellStyle name="20% - Accent6 3 4" xfId="1068" xr:uid="{00000000-0005-0000-0000-00008B030000}"/>
    <cellStyle name="20% - Accent6 3 4 2" xfId="3299" xr:uid="{00000000-0005-0000-0000-00008C030000}"/>
    <cellStyle name="20% - Accent6 3 4 2 2" xfId="7521" xr:uid="{00000000-0005-0000-0000-00008D030000}"/>
    <cellStyle name="20% - Accent6 3 4 2 2 2" xfId="15971" xr:uid="{8DC531AB-2557-41D6-956A-D088843AA26F}"/>
    <cellStyle name="20% - Accent6 3 4 2 3" xfId="11753" xr:uid="{2DB51934-9C19-4815-9C3E-458111B1D0E5}"/>
    <cellStyle name="20% - Accent6 3 4 3" xfId="5376" xr:uid="{00000000-0005-0000-0000-00008E030000}"/>
    <cellStyle name="20% - Accent6 3 4 3 2" xfId="13826" xr:uid="{C6DD9308-0775-42E1-8DBC-B27625056FEE}"/>
    <cellStyle name="20% - Accent6 3 4 4" xfId="9608" xr:uid="{60812184-B60D-4496-A31B-41B9DC745E04}"/>
    <cellStyle name="20% - Accent6 3 5" xfId="1482" xr:uid="{00000000-0005-0000-0000-00008F030000}"/>
    <cellStyle name="20% - Accent6 3 5 2" xfId="3712" xr:uid="{00000000-0005-0000-0000-000090030000}"/>
    <cellStyle name="20% - Accent6 3 5 2 2" xfId="7934" xr:uid="{00000000-0005-0000-0000-000091030000}"/>
    <cellStyle name="20% - Accent6 3 5 2 2 2" xfId="16384" xr:uid="{1FA6631F-5A58-4A48-8192-7DBB809423A0}"/>
    <cellStyle name="20% - Accent6 3 5 2 3" xfId="12166" xr:uid="{3B6AF246-737B-4DD3-BF49-E702973D7867}"/>
    <cellStyle name="20% - Accent6 3 5 3" xfId="5789" xr:uid="{00000000-0005-0000-0000-000092030000}"/>
    <cellStyle name="20% - Accent6 3 5 3 2" xfId="14239" xr:uid="{8C19C93E-2FFF-4F32-A159-0D48B66F0E6B}"/>
    <cellStyle name="20% - Accent6 3 5 4" xfId="10021" xr:uid="{C2DCD97B-8751-4893-9601-FA84C8699159}"/>
    <cellStyle name="20% - Accent6 3 6" xfId="1896" xr:uid="{00000000-0005-0000-0000-000093030000}"/>
    <cellStyle name="20% - Accent6 3 6 2" xfId="4125" xr:uid="{00000000-0005-0000-0000-000094030000}"/>
    <cellStyle name="20% - Accent6 3 6 2 2" xfId="8347" xr:uid="{00000000-0005-0000-0000-000095030000}"/>
    <cellStyle name="20% - Accent6 3 6 2 2 2" xfId="16797" xr:uid="{03C6CA84-A2BE-4A29-B55A-EA384B4DA5BB}"/>
    <cellStyle name="20% - Accent6 3 6 2 3" xfId="12579" xr:uid="{E25248E5-E941-42FA-9ED2-E3E562049508}"/>
    <cellStyle name="20% - Accent6 3 6 3" xfId="6202" xr:uid="{00000000-0005-0000-0000-000096030000}"/>
    <cellStyle name="20% - Accent6 3 6 3 2" xfId="14652" xr:uid="{AC62008D-8CCD-4869-86B0-1BB09D7C5186}"/>
    <cellStyle name="20% - Accent6 3 6 4" xfId="10434" xr:uid="{C19F8575-D37C-4E37-8913-B7533C269A18}"/>
    <cellStyle name="20% - Accent6 3 7" xfId="2309" xr:uid="{00000000-0005-0000-0000-000097030000}"/>
    <cellStyle name="20% - Accent6 3 7 2" xfId="6615" xr:uid="{00000000-0005-0000-0000-000098030000}"/>
    <cellStyle name="20% - Accent6 3 7 2 2" xfId="15065" xr:uid="{DCC2D036-EEDB-48A5-ACA5-1113D3D0062B}"/>
    <cellStyle name="20% - Accent6 3 7 3" xfId="10847" xr:uid="{2CED7EDC-9127-4F20-A55A-8324E7FBE854}"/>
    <cellStyle name="20% - Accent6 3 8" xfId="4549" xr:uid="{00000000-0005-0000-0000-000099030000}"/>
    <cellStyle name="20% - Accent6 3 8 2" xfId="12999" xr:uid="{C89D2CC3-199F-4B96-895D-BF58E1DC3B17}"/>
    <cellStyle name="20% - Accent6 3 9" xfId="8781" xr:uid="{E1D49461-D1D5-4778-A85E-B822434F8C8C}"/>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2 2 2" xfId="15560" xr:uid="{556D9088-2DCC-4747-9C5C-6F7BB6EFABAC}"/>
    <cellStyle name="20% - Accent6 4 2 2 3" xfId="11342" xr:uid="{086DC8D2-F817-494B-A942-DC76301F8BB3}"/>
    <cellStyle name="20% - Accent6 4 2 3" xfId="4965" xr:uid="{00000000-0005-0000-0000-00009E030000}"/>
    <cellStyle name="20% - Accent6 4 2 3 2" xfId="13415" xr:uid="{9A629B1B-E9FD-45D2-A33F-40D44C68193D}"/>
    <cellStyle name="20% - Accent6 4 2 4" xfId="9197" xr:uid="{4B43D1F8-6DB9-4C92-8129-B5C5759ABD66}"/>
    <cellStyle name="20% - Accent6 4 3" xfId="1070" xr:uid="{00000000-0005-0000-0000-00009F030000}"/>
    <cellStyle name="20% - Accent6 4 3 2" xfId="3301" xr:uid="{00000000-0005-0000-0000-0000A0030000}"/>
    <cellStyle name="20% - Accent6 4 3 2 2" xfId="7523" xr:uid="{00000000-0005-0000-0000-0000A1030000}"/>
    <cellStyle name="20% - Accent6 4 3 2 2 2" xfId="15973" xr:uid="{69D5B630-853A-4BE9-A2C4-8F4A701898CC}"/>
    <cellStyle name="20% - Accent6 4 3 2 3" xfId="11755" xr:uid="{932814CF-53C6-4DF9-9778-84BCD57002FC}"/>
    <cellStyle name="20% - Accent6 4 3 3" xfId="5378" xr:uid="{00000000-0005-0000-0000-0000A2030000}"/>
    <cellStyle name="20% - Accent6 4 3 3 2" xfId="13828" xr:uid="{A80135AB-F515-4114-8E1A-DFF30786F977}"/>
    <cellStyle name="20% - Accent6 4 3 4" xfId="9610" xr:uid="{1A91EA86-579B-45C9-B8DC-DE2AEEE78323}"/>
    <cellStyle name="20% - Accent6 4 4" xfId="1484" xr:uid="{00000000-0005-0000-0000-0000A3030000}"/>
    <cellStyle name="20% - Accent6 4 4 2" xfId="3714" xr:uid="{00000000-0005-0000-0000-0000A4030000}"/>
    <cellStyle name="20% - Accent6 4 4 2 2" xfId="7936" xr:uid="{00000000-0005-0000-0000-0000A5030000}"/>
    <cellStyle name="20% - Accent6 4 4 2 2 2" xfId="16386" xr:uid="{0E75C399-B65B-46F7-A461-FC64D0F22393}"/>
    <cellStyle name="20% - Accent6 4 4 2 3" xfId="12168" xr:uid="{73968634-0FA8-43B7-BBCD-6AED97B344B3}"/>
    <cellStyle name="20% - Accent6 4 4 3" xfId="5791" xr:uid="{00000000-0005-0000-0000-0000A6030000}"/>
    <cellStyle name="20% - Accent6 4 4 3 2" xfId="14241" xr:uid="{0369CEA8-F1B9-462C-952A-E99B68656E51}"/>
    <cellStyle name="20% - Accent6 4 4 4" xfId="10023" xr:uid="{C520F71A-2876-41F1-9D42-C1B588960F53}"/>
    <cellStyle name="20% - Accent6 4 5" xfId="1898" xr:uid="{00000000-0005-0000-0000-0000A7030000}"/>
    <cellStyle name="20% - Accent6 4 5 2" xfId="4127" xr:uid="{00000000-0005-0000-0000-0000A8030000}"/>
    <cellStyle name="20% - Accent6 4 5 2 2" xfId="8349" xr:uid="{00000000-0005-0000-0000-0000A9030000}"/>
    <cellStyle name="20% - Accent6 4 5 2 2 2" xfId="16799" xr:uid="{41D0D6B9-15EC-4263-ABC6-E397A0A22404}"/>
    <cellStyle name="20% - Accent6 4 5 2 3" xfId="12581" xr:uid="{A0651EAC-8E50-4383-B53C-63D7A72060AE}"/>
    <cellStyle name="20% - Accent6 4 5 3" xfId="6204" xr:uid="{00000000-0005-0000-0000-0000AA030000}"/>
    <cellStyle name="20% - Accent6 4 5 3 2" xfId="14654" xr:uid="{53D10754-C6C5-422F-9E5A-E0546CE57082}"/>
    <cellStyle name="20% - Accent6 4 5 4" xfId="10436" xr:uid="{524529ED-191D-4C5D-8D4A-484BF5EAE78A}"/>
    <cellStyle name="20% - Accent6 4 6" xfId="2311" xr:uid="{00000000-0005-0000-0000-0000AB030000}"/>
    <cellStyle name="20% - Accent6 4 6 2" xfId="6617" xr:uid="{00000000-0005-0000-0000-0000AC030000}"/>
    <cellStyle name="20% - Accent6 4 6 2 2" xfId="15067" xr:uid="{0F1BD450-D5E1-4A82-AFF8-386E5E68B9ED}"/>
    <cellStyle name="20% - Accent6 4 6 3" xfId="10849" xr:uid="{A318F3B9-B76E-4110-B5AC-4CFEB81420E3}"/>
    <cellStyle name="20% - Accent6 4 7" xfId="4551" xr:uid="{00000000-0005-0000-0000-0000AD030000}"/>
    <cellStyle name="20% - Accent6 4 7 2" xfId="13001" xr:uid="{A9B7AA47-B44F-4F85-A061-8481E8201E79}"/>
    <cellStyle name="20% - Accent6 4 8" xfId="8783" xr:uid="{CC071D11-152B-41CB-A367-64F99DA9FA36}"/>
    <cellStyle name="20% - Accent6 5" xfId="610" xr:uid="{00000000-0005-0000-0000-0000AE030000}"/>
    <cellStyle name="20% - Accent6 5 2" xfId="2881" xr:uid="{00000000-0005-0000-0000-0000AF030000}"/>
    <cellStyle name="20% - Accent6 5 2 2" xfId="7103" xr:uid="{00000000-0005-0000-0000-0000B0030000}"/>
    <cellStyle name="20% - Accent6 5 2 2 2" xfId="15553" xr:uid="{8CAF4118-2A55-45CA-9AC0-4B15D780EE0B}"/>
    <cellStyle name="20% - Accent6 5 2 3" xfId="11335" xr:uid="{4CB48BF1-33ED-4430-80DC-E348E4A406FA}"/>
    <cellStyle name="20% - Accent6 5 3" xfId="4958" xr:uid="{00000000-0005-0000-0000-0000B1030000}"/>
    <cellStyle name="20% - Accent6 5 3 2" xfId="13408" xr:uid="{AB2F30C1-89F0-4ECF-8042-96D92CE0FDAF}"/>
    <cellStyle name="20% - Accent6 5 4" xfId="9190" xr:uid="{958EED8D-5B15-45B7-B0FD-B3A93F45E5EB}"/>
    <cellStyle name="20% - Accent6 6" xfId="1063" xr:uid="{00000000-0005-0000-0000-0000B2030000}"/>
    <cellStyle name="20% - Accent6 6 2" xfId="3294" xr:uid="{00000000-0005-0000-0000-0000B3030000}"/>
    <cellStyle name="20% - Accent6 6 2 2" xfId="7516" xr:uid="{00000000-0005-0000-0000-0000B4030000}"/>
    <cellStyle name="20% - Accent6 6 2 2 2" xfId="15966" xr:uid="{21ED13F4-5BEE-4ACF-A6E9-88FFDDCA692C}"/>
    <cellStyle name="20% - Accent6 6 2 3" xfId="11748" xr:uid="{CDFE3BFE-ACE3-4531-A28C-9FAD3678382D}"/>
    <cellStyle name="20% - Accent6 6 3" xfId="5371" xr:uid="{00000000-0005-0000-0000-0000B5030000}"/>
    <cellStyle name="20% - Accent6 6 3 2" xfId="13821" xr:uid="{3D84831F-9513-40BD-BC01-407841CF4E51}"/>
    <cellStyle name="20% - Accent6 6 4" xfId="9603" xr:uid="{4EA1FB65-8ABA-47FD-B3B6-AE448BBB5002}"/>
    <cellStyle name="20% - Accent6 7" xfId="1477" xr:uid="{00000000-0005-0000-0000-0000B6030000}"/>
    <cellStyle name="20% - Accent6 7 2" xfId="3707" xr:uid="{00000000-0005-0000-0000-0000B7030000}"/>
    <cellStyle name="20% - Accent6 7 2 2" xfId="7929" xr:uid="{00000000-0005-0000-0000-0000B8030000}"/>
    <cellStyle name="20% - Accent6 7 2 2 2" xfId="16379" xr:uid="{C1A8CC59-D2CD-4633-8ABE-9ED6969DC297}"/>
    <cellStyle name="20% - Accent6 7 2 3" xfId="12161" xr:uid="{21D248C6-B42D-4634-B472-F0542CFB98A3}"/>
    <cellStyle name="20% - Accent6 7 3" xfId="5784" xr:uid="{00000000-0005-0000-0000-0000B9030000}"/>
    <cellStyle name="20% - Accent6 7 3 2" xfId="14234" xr:uid="{D741355E-3279-47CA-B525-0D8209D45E6E}"/>
    <cellStyle name="20% - Accent6 7 4" xfId="10016" xr:uid="{2DBF18BB-1EF4-443B-9464-4D2E95466CA4}"/>
    <cellStyle name="20% - Accent6 8" xfId="1891" xr:uid="{00000000-0005-0000-0000-0000BA030000}"/>
    <cellStyle name="20% - Accent6 8 2" xfId="4120" xr:uid="{00000000-0005-0000-0000-0000BB030000}"/>
    <cellStyle name="20% - Accent6 8 2 2" xfId="8342" xr:uid="{00000000-0005-0000-0000-0000BC030000}"/>
    <cellStyle name="20% - Accent6 8 2 2 2" xfId="16792" xr:uid="{170A48F6-E1E5-48EA-B0B7-66B4BC57038D}"/>
    <cellStyle name="20% - Accent6 8 2 3" xfId="12574" xr:uid="{A31ED8C2-FEA3-49EC-94BA-1D78FFCE8870}"/>
    <cellStyle name="20% - Accent6 8 3" xfId="6197" xr:uid="{00000000-0005-0000-0000-0000BD030000}"/>
    <cellStyle name="20% - Accent6 8 3 2" xfId="14647" xr:uid="{0F91EC4A-D37A-491C-8FAC-ADF8BB0CAA19}"/>
    <cellStyle name="20% - Accent6 8 4" xfId="10429" xr:uid="{01628052-3C92-472E-B830-81F894A2F58F}"/>
    <cellStyle name="20% - Accent6 9" xfId="2304" xr:uid="{00000000-0005-0000-0000-0000BE030000}"/>
    <cellStyle name="20% - Accent6 9 2" xfId="6610" xr:uid="{00000000-0005-0000-0000-0000BF030000}"/>
    <cellStyle name="20% - Accent6 9 2 2" xfId="15060" xr:uid="{3C208A74-68DE-45D8-A383-53690B151DDE}"/>
    <cellStyle name="20% - Accent6 9 3" xfId="10842" xr:uid="{DD895253-CC29-4A08-B5E3-C62DB00F1ED9}"/>
    <cellStyle name="40% - Accent1" xfId="49" builtinId="31" customBuiltin="1"/>
    <cellStyle name="40% - Accent1 10" xfId="4552" xr:uid="{00000000-0005-0000-0000-0000C1030000}"/>
    <cellStyle name="40% - Accent1 10 2" xfId="13002" xr:uid="{6F72D2FD-70D6-4B7E-AE6F-844B290A5124}"/>
    <cellStyle name="40% - Accent1 11" xfId="8784" xr:uid="{B77610B1-8DC8-4DCD-BECC-AC249C5B036F}"/>
    <cellStyle name="40% - Accent1 2" xfId="50" xr:uid="{00000000-0005-0000-0000-0000C2030000}"/>
    <cellStyle name="40% - Accent1 2 10" xfId="8785" xr:uid="{BC327C24-2219-4F99-8EEA-B837534158B6}"/>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2 2 2" xfId="15564" xr:uid="{D25B2803-3874-4C56-90FE-A3A1666F49E8}"/>
    <cellStyle name="40% - Accent1 2 2 2 2 2 3" xfId="11346" xr:uid="{B146EAAB-2641-4694-831D-BBE02609752C}"/>
    <cellStyle name="40% - Accent1 2 2 2 2 3" xfId="4969" xr:uid="{00000000-0005-0000-0000-0000C8030000}"/>
    <cellStyle name="40% - Accent1 2 2 2 2 3 2" xfId="13419" xr:uid="{51525CAE-D40F-4AC4-953B-9EE547E19778}"/>
    <cellStyle name="40% - Accent1 2 2 2 2 4" xfId="9201" xr:uid="{8DD72EE2-19BF-4890-93BD-35DDEB5D7465}"/>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2 2 2" xfId="15977" xr:uid="{AEA3C8A8-9E38-4F12-9652-8D5DD85135F4}"/>
    <cellStyle name="40% - Accent1 2 2 2 3 2 3" xfId="11759" xr:uid="{5D13DC03-9A98-4798-83E1-1E3FDD5CAE56}"/>
    <cellStyle name="40% - Accent1 2 2 2 3 3" xfId="5382" xr:uid="{00000000-0005-0000-0000-0000CC030000}"/>
    <cellStyle name="40% - Accent1 2 2 2 3 3 2" xfId="13832" xr:uid="{765414CE-9F19-4AD1-82CB-E3CC8A0FD045}"/>
    <cellStyle name="40% - Accent1 2 2 2 3 4" xfId="9614" xr:uid="{03AA2480-8125-4EA6-A2FB-D70F0D93285A}"/>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2 2 2" xfId="16390" xr:uid="{B8A8A42A-E566-4D2A-A116-FF3DD7A3BCA3}"/>
    <cellStyle name="40% - Accent1 2 2 2 4 2 3" xfId="12172" xr:uid="{5CFF03BE-4133-425E-89A7-2EBAFA507958}"/>
    <cellStyle name="40% - Accent1 2 2 2 4 3" xfId="5795" xr:uid="{00000000-0005-0000-0000-0000D0030000}"/>
    <cellStyle name="40% - Accent1 2 2 2 4 3 2" xfId="14245" xr:uid="{CE1DFDFD-8190-438B-9A51-633D0F62C6A4}"/>
    <cellStyle name="40% - Accent1 2 2 2 4 4" xfId="10027" xr:uid="{C1CE8E8C-41B1-4213-ADA3-F207832C9825}"/>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2 2 2" xfId="16803" xr:uid="{100E2E95-2E50-4145-B040-C1379C72772E}"/>
    <cellStyle name="40% - Accent1 2 2 2 5 2 3" xfId="12585" xr:uid="{CD671BD3-E8D9-4DA0-AB6E-44C9F68014CB}"/>
    <cellStyle name="40% - Accent1 2 2 2 5 3" xfId="6208" xr:uid="{00000000-0005-0000-0000-0000D4030000}"/>
    <cellStyle name="40% - Accent1 2 2 2 5 3 2" xfId="14658" xr:uid="{95C64CB7-0BAC-4B34-9946-F9ACA811BD1E}"/>
    <cellStyle name="40% - Accent1 2 2 2 5 4" xfId="10440" xr:uid="{1CEDDA53-3321-455D-800C-8F8BB76B90C7}"/>
    <cellStyle name="40% - Accent1 2 2 2 6" xfId="2315" xr:uid="{00000000-0005-0000-0000-0000D5030000}"/>
    <cellStyle name="40% - Accent1 2 2 2 6 2" xfId="6621" xr:uid="{00000000-0005-0000-0000-0000D6030000}"/>
    <cellStyle name="40% - Accent1 2 2 2 6 2 2" xfId="15071" xr:uid="{516ED555-D89E-4A00-8A22-DD3D50BB0BF4}"/>
    <cellStyle name="40% - Accent1 2 2 2 6 3" xfId="10853" xr:uid="{00D4262C-C586-41BB-A9C0-1C4E2CFD9CE5}"/>
    <cellStyle name="40% - Accent1 2 2 2 7" xfId="4555" xr:uid="{00000000-0005-0000-0000-0000D7030000}"/>
    <cellStyle name="40% - Accent1 2 2 2 7 2" xfId="13005" xr:uid="{230D2DE2-F575-495A-91C5-AC52DA5D889B}"/>
    <cellStyle name="40% - Accent1 2 2 2 8" xfId="8787" xr:uid="{160443B2-1003-4A45-833F-9371E430D373}"/>
    <cellStyle name="40% - Accent1 2 2 3" xfId="620" xr:uid="{00000000-0005-0000-0000-0000D8030000}"/>
    <cellStyle name="40% - Accent1 2 2 3 2" xfId="2891" xr:uid="{00000000-0005-0000-0000-0000D9030000}"/>
    <cellStyle name="40% - Accent1 2 2 3 2 2" xfId="7113" xr:uid="{00000000-0005-0000-0000-0000DA030000}"/>
    <cellStyle name="40% - Accent1 2 2 3 2 2 2" xfId="15563" xr:uid="{B98BE702-4544-4CD9-B8F5-F67088DC3D32}"/>
    <cellStyle name="40% - Accent1 2 2 3 2 3" xfId="11345" xr:uid="{2367B597-2B03-44B0-8BBF-4694FDD5C91E}"/>
    <cellStyle name="40% - Accent1 2 2 3 3" xfId="4968" xr:uid="{00000000-0005-0000-0000-0000DB030000}"/>
    <cellStyle name="40% - Accent1 2 2 3 3 2" xfId="13418" xr:uid="{858970FB-53FA-424F-81AD-A84B6F20BB5F}"/>
    <cellStyle name="40% - Accent1 2 2 3 4" xfId="9200" xr:uid="{32919F84-81AB-427A-A126-B97BDEB4FA14}"/>
    <cellStyle name="40% - Accent1 2 2 4" xfId="1073" xr:uid="{00000000-0005-0000-0000-0000DC030000}"/>
    <cellStyle name="40% - Accent1 2 2 4 2" xfId="3304" xr:uid="{00000000-0005-0000-0000-0000DD030000}"/>
    <cellStyle name="40% - Accent1 2 2 4 2 2" xfId="7526" xr:uid="{00000000-0005-0000-0000-0000DE030000}"/>
    <cellStyle name="40% - Accent1 2 2 4 2 2 2" xfId="15976" xr:uid="{836ACA6B-C817-413A-97E5-7CED9B4A84E1}"/>
    <cellStyle name="40% - Accent1 2 2 4 2 3" xfId="11758" xr:uid="{FB5D150B-9FC7-42D9-8CAD-E7A0583C69ED}"/>
    <cellStyle name="40% - Accent1 2 2 4 3" xfId="5381" xr:uid="{00000000-0005-0000-0000-0000DF030000}"/>
    <cellStyle name="40% - Accent1 2 2 4 3 2" xfId="13831" xr:uid="{978D8F3C-A8F3-4220-9923-7F219517DBA2}"/>
    <cellStyle name="40% - Accent1 2 2 4 4" xfId="9613" xr:uid="{04CE705A-C3FD-4057-BA62-48BFAC403936}"/>
    <cellStyle name="40% - Accent1 2 2 5" xfId="1487" xr:uid="{00000000-0005-0000-0000-0000E0030000}"/>
    <cellStyle name="40% - Accent1 2 2 5 2" xfId="3717" xr:uid="{00000000-0005-0000-0000-0000E1030000}"/>
    <cellStyle name="40% - Accent1 2 2 5 2 2" xfId="7939" xr:uid="{00000000-0005-0000-0000-0000E2030000}"/>
    <cellStyle name="40% - Accent1 2 2 5 2 2 2" xfId="16389" xr:uid="{FD2804F2-2BB2-4D3F-BB6F-1CEAD2FABC6D}"/>
    <cellStyle name="40% - Accent1 2 2 5 2 3" xfId="12171" xr:uid="{A4764A07-B5C5-45B0-B907-A4137CC19FA0}"/>
    <cellStyle name="40% - Accent1 2 2 5 3" xfId="5794" xr:uid="{00000000-0005-0000-0000-0000E3030000}"/>
    <cellStyle name="40% - Accent1 2 2 5 3 2" xfId="14244" xr:uid="{8E4A8550-903A-435C-8E77-F056CD1EE562}"/>
    <cellStyle name="40% - Accent1 2 2 5 4" xfId="10026" xr:uid="{EA1C6311-2E71-4A37-B1F6-37506DB7AD35}"/>
    <cellStyle name="40% - Accent1 2 2 6" xfId="1901" xr:uid="{00000000-0005-0000-0000-0000E4030000}"/>
    <cellStyle name="40% - Accent1 2 2 6 2" xfId="4130" xr:uid="{00000000-0005-0000-0000-0000E5030000}"/>
    <cellStyle name="40% - Accent1 2 2 6 2 2" xfId="8352" xr:uid="{00000000-0005-0000-0000-0000E6030000}"/>
    <cellStyle name="40% - Accent1 2 2 6 2 2 2" xfId="16802" xr:uid="{3562C515-2878-46F0-A666-AD21083960BF}"/>
    <cellStyle name="40% - Accent1 2 2 6 2 3" xfId="12584" xr:uid="{3B423CC1-B29D-4D14-A8D9-0DC1C471C5C3}"/>
    <cellStyle name="40% - Accent1 2 2 6 3" xfId="6207" xr:uid="{00000000-0005-0000-0000-0000E7030000}"/>
    <cellStyle name="40% - Accent1 2 2 6 3 2" xfId="14657" xr:uid="{8860AA14-AD53-4652-ABA1-B110E878DB69}"/>
    <cellStyle name="40% - Accent1 2 2 6 4" xfId="10439" xr:uid="{F2506AB7-F834-48AF-83AB-E20C2C6C9777}"/>
    <cellStyle name="40% - Accent1 2 2 7" xfId="2314" xr:uid="{00000000-0005-0000-0000-0000E8030000}"/>
    <cellStyle name="40% - Accent1 2 2 7 2" xfId="6620" xr:uid="{00000000-0005-0000-0000-0000E9030000}"/>
    <cellStyle name="40% - Accent1 2 2 7 2 2" xfId="15070" xr:uid="{ECF6EDDD-DEA9-4D7C-892A-FB2EDA325093}"/>
    <cellStyle name="40% - Accent1 2 2 7 3" xfId="10852" xr:uid="{B1F55942-A8AF-4D3D-9125-A02A3B1799B3}"/>
    <cellStyle name="40% - Accent1 2 2 8" xfId="4554" xr:uid="{00000000-0005-0000-0000-0000EA030000}"/>
    <cellStyle name="40% - Accent1 2 2 8 2" xfId="13004" xr:uid="{A0AA55FD-9BEE-4E54-8E53-4F45CAAB383C}"/>
    <cellStyle name="40% - Accent1 2 2 9" xfId="8786" xr:uid="{4D7DB8B2-8D30-4205-B0DA-F985C3B5F5AF}"/>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2 2 2" xfId="15565" xr:uid="{C149ABF7-2DC1-428D-A22E-86ACE38681B5}"/>
    <cellStyle name="40% - Accent1 2 3 2 2 3" xfId="11347" xr:uid="{6B459431-A2C3-4E97-BCA6-A4A007AA5C0D}"/>
    <cellStyle name="40% - Accent1 2 3 2 3" xfId="4970" xr:uid="{00000000-0005-0000-0000-0000EF030000}"/>
    <cellStyle name="40% - Accent1 2 3 2 3 2" xfId="13420" xr:uid="{1C66BD6A-03BE-4FCD-8D2E-EF42277B7E40}"/>
    <cellStyle name="40% - Accent1 2 3 2 4" xfId="9202" xr:uid="{6FB77E5F-B65A-4835-96FE-F6F3405EF879}"/>
    <cellStyle name="40% - Accent1 2 3 3" xfId="1075" xr:uid="{00000000-0005-0000-0000-0000F0030000}"/>
    <cellStyle name="40% - Accent1 2 3 3 2" xfId="3306" xr:uid="{00000000-0005-0000-0000-0000F1030000}"/>
    <cellStyle name="40% - Accent1 2 3 3 2 2" xfId="7528" xr:uid="{00000000-0005-0000-0000-0000F2030000}"/>
    <cellStyle name="40% - Accent1 2 3 3 2 2 2" xfId="15978" xr:uid="{E500F677-94A9-4ED7-B706-9D55228488FA}"/>
    <cellStyle name="40% - Accent1 2 3 3 2 3" xfId="11760" xr:uid="{04D243F8-7F6D-44E2-9AFA-818A3D195AFE}"/>
    <cellStyle name="40% - Accent1 2 3 3 3" xfId="5383" xr:uid="{00000000-0005-0000-0000-0000F3030000}"/>
    <cellStyle name="40% - Accent1 2 3 3 3 2" xfId="13833" xr:uid="{990482BE-C101-4992-B23A-77A5E0E89AF1}"/>
    <cellStyle name="40% - Accent1 2 3 3 4" xfId="9615" xr:uid="{099E4C99-672E-4315-9951-890DF78A9DF2}"/>
    <cellStyle name="40% - Accent1 2 3 4" xfId="1489" xr:uid="{00000000-0005-0000-0000-0000F4030000}"/>
    <cellStyle name="40% - Accent1 2 3 4 2" xfId="3719" xr:uid="{00000000-0005-0000-0000-0000F5030000}"/>
    <cellStyle name="40% - Accent1 2 3 4 2 2" xfId="7941" xr:uid="{00000000-0005-0000-0000-0000F6030000}"/>
    <cellStyle name="40% - Accent1 2 3 4 2 2 2" xfId="16391" xr:uid="{51FBA610-817E-41BE-8A03-61FDA707C837}"/>
    <cellStyle name="40% - Accent1 2 3 4 2 3" xfId="12173" xr:uid="{B4775DA3-1378-4FD0-8001-26D6C33884A3}"/>
    <cellStyle name="40% - Accent1 2 3 4 3" xfId="5796" xr:uid="{00000000-0005-0000-0000-0000F7030000}"/>
    <cellStyle name="40% - Accent1 2 3 4 3 2" xfId="14246" xr:uid="{CE755234-9D78-4EE7-9374-364D7EFD8FC8}"/>
    <cellStyle name="40% - Accent1 2 3 4 4" xfId="10028" xr:uid="{5818CD78-9896-4B8B-832F-F00CC92CB5C6}"/>
    <cellStyle name="40% - Accent1 2 3 5" xfId="1903" xr:uid="{00000000-0005-0000-0000-0000F8030000}"/>
    <cellStyle name="40% - Accent1 2 3 5 2" xfId="4132" xr:uid="{00000000-0005-0000-0000-0000F9030000}"/>
    <cellStyle name="40% - Accent1 2 3 5 2 2" xfId="8354" xr:uid="{00000000-0005-0000-0000-0000FA030000}"/>
    <cellStyle name="40% - Accent1 2 3 5 2 2 2" xfId="16804" xr:uid="{1FAD13CB-1E49-42B8-8811-6081339D9F94}"/>
    <cellStyle name="40% - Accent1 2 3 5 2 3" xfId="12586" xr:uid="{17796EFB-D820-419F-A2D0-B53DAB51FABA}"/>
    <cellStyle name="40% - Accent1 2 3 5 3" xfId="6209" xr:uid="{00000000-0005-0000-0000-0000FB030000}"/>
    <cellStyle name="40% - Accent1 2 3 5 3 2" xfId="14659" xr:uid="{52AE1FD9-E71E-4874-AB67-233211772F7B}"/>
    <cellStyle name="40% - Accent1 2 3 5 4" xfId="10441" xr:uid="{745E51D0-5E09-4C1F-BD72-5A976BADC17A}"/>
    <cellStyle name="40% - Accent1 2 3 6" xfId="2316" xr:uid="{00000000-0005-0000-0000-0000FC030000}"/>
    <cellStyle name="40% - Accent1 2 3 6 2" xfId="6622" xr:uid="{00000000-0005-0000-0000-0000FD030000}"/>
    <cellStyle name="40% - Accent1 2 3 6 2 2" xfId="15072" xr:uid="{D9F3C93F-44B9-4066-90F7-6B831AFA12AD}"/>
    <cellStyle name="40% - Accent1 2 3 6 3" xfId="10854" xr:uid="{3BCC80B0-FA3F-459A-A2F9-5D80E957E070}"/>
    <cellStyle name="40% - Accent1 2 3 7" xfId="4556" xr:uid="{00000000-0005-0000-0000-0000FE030000}"/>
    <cellStyle name="40% - Accent1 2 3 7 2" xfId="13006" xr:uid="{207523BE-1467-47F9-9CDF-3B1AFF65D40D}"/>
    <cellStyle name="40% - Accent1 2 3 8" xfId="8788" xr:uid="{893B8E1A-2E8D-41EB-AD3F-D34EB6E9F4E9}"/>
    <cellStyle name="40% - Accent1 2 4" xfId="619" xr:uid="{00000000-0005-0000-0000-0000FF030000}"/>
    <cellStyle name="40% - Accent1 2 4 2" xfId="2890" xr:uid="{00000000-0005-0000-0000-000000040000}"/>
    <cellStyle name="40% - Accent1 2 4 2 2" xfId="7112" xr:uid="{00000000-0005-0000-0000-000001040000}"/>
    <cellStyle name="40% - Accent1 2 4 2 2 2" xfId="15562" xr:uid="{69C27CEC-53A7-4F64-A1C7-59CB83BF6F1F}"/>
    <cellStyle name="40% - Accent1 2 4 2 3" xfId="11344" xr:uid="{5268F780-D4E9-4B9F-A7BE-8FCE0D046223}"/>
    <cellStyle name="40% - Accent1 2 4 3" xfId="4967" xr:uid="{00000000-0005-0000-0000-000002040000}"/>
    <cellStyle name="40% - Accent1 2 4 3 2" xfId="13417" xr:uid="{F9469BCA-2470-4432-AACB-21325C41DE2D}"/>
    <cellStyle name="40% - Accent1 2 4 4" xfId="9199" xr:uid="{1343C44F-6AB0-4104-90A8-8EE1B78DD57D}"/>
    <cellStyle name="40% - Accent1 2 5" xfId="1072" xr:uid="{00000000-0005-0000-0000-000003040000}"/>
    <cellStyle name="40% - Accent1 2 5 2" xfId="3303" xr:uid="{00000000-0005-0000-0000-000004040000}"/>
    <cellStyle name="40% - Accent1 2 5 2 2" xfId="7525" xr:uid="{00000000-0005-0000-0000-000005040000}"/>
    <cellStyle name="40% - Accent1 2 5 2 2 2" xfId="15975" xr:uid="{3E95176A-F83E-49DD-AA58-4B89C5467DD7}"/>
    <cellStyle name="40% - Accent1 2 5 2 3" xfId="11757" xr:uid="{B200E568-288F-4B63-A6DD-14BF13BE23FA}"/>
    <cellStyle name="40% - Accent1 2 5 3" xfId="5380" xr:uid="{00000000-0005-0000-0000-000006040000}"/>
    <cellStyle name="40% - Accent1 2 5 3 2" xfId="13830" xr:uid="{6BD7EF77-FEFF-45AC-B065-1EC53ECC6CD9}"/>
    <cellStyle name="40% - Accent1 2 5 4" xfId="9612" xr:uid="{7D1AF336-C46E-4A49-8986-0759B286AB2A}"/>
    <cellStyle name="40% - Accent1 2 6" xfId="1486" xr:uid="{00000000-0005-0000-0000-000007040000}"/>
    <cellStyle name="40% - Accent1 2 6 2" xfId="3716" xr:uid="{00000000-0005-0000-0000-000008040000}"/>
    <cellStyle name="40% - Accent1 2 6 2 2" xfId="7938" xr:uid="{00000000-0005-0000-0000-000009040000}"/>
    <cellStyle name="40% - Accent1 2 6 2 2 2" xfId="16388" xr:uid="{AB27232B-8E9D-4283-BC65-E2A6B6451FA3}"/>
    <cellStyle name="40% - Accent1 2 6 2 3" xfId="12170" xr:uid="{85C50165-4314-42E1-8E7C-12096AB07160}"/>
    <cellStyle name="40% - Accent1 2 6 3" xfId="5793" xr:uid="{00000000-0005-0000-0000-00000A040000}"/>
    <cellStyle name="40% - Accent1 2 6 3 2" xfId="14243" xr:uid="{4357A362-F015-4235-950F-E6BB66936976}"/>
    <cellStyle name="40% - Accent1 2 6 4" xfId="10025" xr:uid="{4E7101D0-FC84-4BB5-8807-A45497A83704}"/>
    <cellStyle name="40% - Accent1 2 7" xfId="1900" xr:uid="{00000000-0005-0000-0000-00000B040000}"/>
    <cellStyle name="40% - Accent1 2 7 2" xfId="4129" xr:uid="{00000000-0005-0000-0000-00000C040000}"/>
    <cellStyle name="40% - Accent1 2 7 2 2" xfId="8351" xr:uid="{00000000-0005-0000-0000-00000D040000}"/>
    <cellStyle name="40% - Accent1 2 7 2 2 2" xfId="16801" xr:uid="{0EBD6D10-BD2E-4EE0-8E9B-B074D419E96C}"/>
    <cellStyle name="40% - Accent1 2 7 2 3" xfId="12583" xr:uid="{5E1F5CB2-9A64-4520-8066-9A90C39B0CF0}"/>
    <cellStyle name="40% - Accent1 2 7 3" xfId="6206" xr:uid="{00000000-0005-0000-0000-00000E040000}"/>
    <cellStyle name="40% - Accent1 2 7 3 2" xfId="14656" xr:uid="{D87E4DF1-CB5C-4976-AAE0-B91B682FB27D}"/>
    <cellStyle name="40% - Accent1 2 7 4" xfId="10438" xr:uid="{523F0362-D33C-4CA1-A87C-8378D32F1488}"/>
    <cellStyle name="40% - Accent1 2 8" xfId="2313" xr:uid="{00000000-0005-0000-0000-00000F040000}"/>
    <cellStyle name="40% - Accent1 2 8 2" xfId="6619" xr:uid="{00000000-0005-0000-0000-000010040000}"/>
    <cellStyle name="40% - Accent1 2 8 2 2" xfId="15069" xr:uid="{B3D021BA-E501-4B93-B3BB-E408569B5FE9}"/>
    <cellStyle name="40% - Accent1 2 8 3" xfId="10851" xr:uid="{5D11D07B-80ED-4339-9E21-C62DD6003AB5}"/>
    <cellStyle name="40% - Accent1 2 9" xfId="4553" xr:uid="{00000000-0005-0000-0000-000011040000}"/>
    <cellStyle name="40% - Accent1 2 9 2" xfId="13003" xr:uid="{39746AE8-5B62-4D74-8907-A4A9BBD8FCAC}"/>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2 2 2" xfId="15567" xr:uid="{A8F5824A-CD26-430A-976A-BD29563F87CD}"/>
    <cellStyle name="40% - Accent1 3 2 2 2 3" xfId="11349" xr:uid="{5A674F20-3007-4127-BB69-E9AEA5E1F0F4}"/>
    <cellStyle name="40% - Accent1 3 2 2 3" xfId="4972" xr:uid="{00000000-0005-0000-0000-000017040000}"/>
    <cellStyle name="40% - Accent1 3 2 2 3 2" xfId="13422" xr:uid="{7A5983BB-3ED2-4D46-810B-0FB702BEB2DC}"/>
    <cellStyle name="40% - Accent1 3 2 2 4" xfId="9204" xr:uid="{B83BC5DA-A184-4486-B5C6-436B49F8A1DD}"/>
    <cellStyle name="40% - Accent1 3 2 3" xfId="1077" xr:uid="{00000000-0005-0000-0000-000018040000}"/>
    <cellStyle name="40% - Accent1 3 2 3 2" xfId="3308" xr:uid="{00000000-0005-0000-0000-000019040000}"/>
    <cellStyle name="40% - Accent1 3 2 3 2 2" xfId="7530" xr:uid="{00000000-0005-0000-0000-00001A040000}"/>
    <cellStyle name="40% - Accent1 3 2 3 2 2 2" xfId="15980" xr:uid="{80474069-FFCF-4335-BA95-B0002A4E348C}"/>
    <cellStyle name="40% - Accent1 3 2 3 2 3" xfId="11762" xr:uid="{B7420932-8ABB-48E8-BDB6-A7C599562414}"/>
    <cellStyle name="40% - Accent1 3 2 3 3" xfId="5385" xr:uid="{00000000-0005-0000-0000-00001B040000}"/>
    <cellStyle name="40% - Accent1 3 2 3 3 2" xfId="13835" xr:uid="{DCCD4F79-4620-4E50-B351-D770E5BC8D06}"/>
    <cellStyle name="40% - Accent1 3 2 3 4" xfId="9617" xr:uid="{00F82630-E3F0-437F-85B9-363ADF616A26}"/>
    <cellStyle name="40% - Accent1 3 2 4" xfId="1491" xr:uid="{00000000-0005-0000-0000-00001C040000}"/>
    <cellStyle name="40% - Accent1 3 2 4 2" xfId="3721" xr:uid="{00000000-0005-0000-0000-00001D040000}"/>
    <cellStyle name="40% - Accent1 3 2 4 2 2" xfId="7943" xr:uid="{00000000-0005-0000-0000-00001E040000}"/>
    <cellStyle name="40% - Accent1 3 2 4 2 2 2" xfId="16393" xr:uid="{CE0A6D15-88DA-48C3-A60C-CA415CC7EC8D}"/>
    <cellStyle name="40% - Accent1 3 2 4 2 3" xfId="12175" xr:uid="{C6671005-9141-4827-9017-3B165BB30CE9}"/>
    <cellStyle name="40% - Accent1 3 2 4 3" xfId="5798" xr:uid="{00000000-0005-0000-0000-00001F040000}"/>
    <cellStyle name="40% - Accent1 3 2 4 3 2" xfId="14248" xr:uid="{A5AE69B6-A10C-481F-8150-896855A18348}"/>
    <cellStyle name="40% - Accent1 3 2 4 4" xfId="10030" xr:uid="{01B77A71-6747-4913-A001-A718AE411ED2}"/>
    <cellStyle name="40% - Accent1 3 2 5" xfId="1905" xr:uid="{00000000-0005-0000-0000-000020040000}"/>
    <cellStyle name="40% - Accent1 3 2 5 2" xfId="4134" xr:uid="{00000000-0005-0000-0000-000021040000}"/>
    <cellStyle name="40% - Accent1 3 2 5 2 2" xfId="8356" xr:uid="{00000000-0005-0000-0000-000022040000}"/>
    <cellStyle name="40% - Accent1 3 2 5 2 2 2" xfId="16806" xr:uid="{AFEACC68-5DE0-4E03-A49F-C894CFC2A62D}"/>
    <cellStyle name="40% - Accent1 3 2 5 2 3" xfId="12588" xr:uid="{68E89493-B0DF-4352-AFCC-BE8B5E6A6A67}"/>
    <cellStyle name="40% - Accent1 3 2 5 3" xfId="6211" xr:uid="{00000000-0005-0000-0000-000023040000}"/>
    <cellStyle name="40% - Accent1 3 2 5 3 2" xfId="14661" xr:uid="{51BB0B0D-1523-4776-B965-02E95D5ACB4E}"/>
    <cellStyle name="40% - Accent1 3 2 5 4" xfId="10443" xr:uid="{50E546CD-30DB-45C7-8BB4-F06D88355F3B}"/>
    <cellStyle name="40% - Accent1 3 2 6" xfId="2318" xr:uid="{00000000-0005-0000-0000-000024040000}"/>
    <cellStyle name="40% - Accent1 3 2 6 2" xfId="6624" xr:uid="{00000000-0005-0000-0000-000025040000}"/>
    <cellStyle name="40% - Accent1 3 2 6 2 2" xfId="15074" xr:uid="{BC62F3E1-85F7-46B4-B59A-55558B327F05}"/>
    <cellStyle name="40% - Accent1 3 2 6 3" xfId="10856" xr:uid="{39FBA848-18B4-4C05-8FCE-306A290EC07A}"/>
    <cellStyle name="40% - Accent1 3 2 7" xfId="4558" xr:uid="{00000000-0005-0000-0000-000026040000}"/>
    <cellStyle name="40% - Accent1 3 2 7 2" xfId="13008" xr:uid="{E95BF700-9852-48F7-B808-ED36D43AE624}"/>
    <cellStyle name="40% - Accent1 3 2 8" xfId="8790" xr:uid="{CD0E2120-FBEC-4105-A5FB-0DDFC80938B8}"/>
    <cellStyle name="40% - Accent1 3 3" xfId="623" xr:uid="{00000000-0005-0000-0000-000027040000}"/>
    <cellStyle name="40% - Accent1 3 3 2" xfId="2894" xr:uid="{00000000-0005-0000-0000-000028040000}"/>
    <cellStyle name="40% - Accent1 3 3 2 2" xfId="7116" xr:uid="{00000000-0005-0000-0000-000029040000}"/>
    <cellStyle name="40% - Accent1 3 3 2 2 2" xfId="15566" xr:uid="{D9B00E07-BD9B-46AB-A2AD-DE35822653F9}"/>
    <cellStyle name="40% - Accent1 3 3 2 3" xfId="11348" xr:uid="{0BA5A844-F7A3-4293-AECD-1F27EE9BB1F8}"/>
    <cellStyle name="40% - Accent1 3 3 3" xfId="4971" xr:uid="{00000000-0005-0000-0000-00002A040000}"/>
    <cellStyle name="40% - Accent1 3 3 3 2" xfId="13421" xr:uid="{FA63B5BB-1377-463A-9B61-65E14AEBB916}"/>
    <cellStyle name="40% - Accent1 3 3 4" xfId="9203" xr:uid="{46F1A7CF-5AEC-48D5-ACFA-60BD3F646E7D}"/>
    <cellStyle name="40% - Accent1 3 4" xfId="1076" xr:uid="{00000000-0005-0000-0000-00002B040000}"/>
    <cellStyle name="40% - Accent1 3 4 2" xfId="3307" xr:uid="{00000000-0005-0000-0000-00002C040000}"/>
    <cellStyle name="40% - Accent1 3 4 2 2" xfId="7529" xr:uid="{00000000-0005-0000-0000-00002D040000}"/>
    <cellStyle name="40% - Accent1 3 4 2 2 2" xfId="15979" xr:uid="{F1A34F2E-2E7F-44C1-9D08-A159298C072D}"/>
    <cellStyle name="40% - Accent1 3 4 2 3" xfId="11761" xr:uid="{483E411D-F872-4D4B-9FB8-599BE368857F}"/>
    <cellStyle name="40% - Accent1 3 4 3" xfId="5384" xr:uid="{00000000-0005-0000-0000-00002E040000}"/>
    <cellStyle name="40% - Accent1 3 4 3 2" xfId="13834" xr:uid="{DAC0D6EA-3996-4E91-9B69-F2764655CD5F}"/>
    <cellStyle name="40% - Accent1 3 4 4" xfId="9616" xr:uid="{C0C9DBC2-8CAC-4498-864C-A8C9A23DCC40}"/>
    <cellStyle name="40% - Accent1 3 5" xfId="1490" xr:uid="{00000000-0005-0000-0000-00002F040000}"/>
    <cellStyle name="40% - Accent1 3 5 2" xfId="3720" xr:uid="{00000000-0005-0000-0000-000030040000}"/>
    <cellStyle name="40% - Accent1 3 5 2 2" xfId="7942" xr:uid="{00000000-0005-0000-0000-000031040000}"/>
    <cellStyle name="40% - Accent1 3 5 2 2 2" xfId="16392" xr:uid="{B7D16D74-CC8F-4F6A-89EC-211247F2B46C}"/>
    <cellStyle name="40% - Accent1 3 5 2 3" xfId="12174" xr:uid="{D894497D-770A-43DE-B4D2-EDFD7F30768B}"/>
    <cellStyle name="40% - Accent1 3 5 3" xfId="5797" xr:uid="{00000000-0005-0000-0000-000032040000}"/>
    <cellStyle name="40% - Accent1 3 5 3 2" xfId="14247" xr:uid="{63EF1D29-C916-4B84-8AD2-2DE512AD35A3}"/>
    <cellStyle name="40% - Accent1 3 5 4" xfId="10029" xr:uid="{AF87BD54-8B15-42AA-854B-06DB24AEA09B}"/>
    <cellStyle name="40% - Accent1 3 6" xfId="1904" xr:uid="{00000000-0005-0000-0000-000033040000}"/>
    <cellStyle name="40% - Accent1 3 6 2" xfId="4133" xr:uid="{00000000-0005-0000-0000-000034040000}"/>
    <cellStyle name="40% - Accent1 3 6 2 2" xfId="8355" xr:uid="{00000000-0005-0000-0000-000035040000}"/>
    <cellStyle name="40% - Accent1 3 6 2 2 2" xfId="16805" xr:uid="{F45A120B-1518-4AF3-8EEF-574ADEE0BBD8}"/>
    <cellStyle name="40% - Accent1 3 6 2 3" xfId="12587" xr:uid="{F29012D6-34FE-48A5-BE2C-87729451B6B5}"/>
    <cellStyle name="40% - Accent1 3 6 3" xfId="6210" xr:uid="{00000000-0005-0000-0000-000036040000}"/>
    <cellStyle name="40% - Accent1 3 6 3 2" xfId="14660" xr:uid="{59DF063E-F6ED-415C-8052-CACA5E40F470}"/>
    <cellStyle name="40% - Accent1 3 6 4" xfId="10442" xr:uid="{02FABADC-1F3B-40AB-86CB-B6AF1124908E}"/>
    <cellStyle name="40% - Accent1 3 7" xfId="2317" xr:uid="{00000000-0005-0000-0000-000037040000}"/>
    <cellStyle name="40% - Accent1 3 7 2" xfId="6623" xr:uid="{00000000-0005-0000-0000-000038040000}"/>
    <cellStyle name="40% - Accent1 3 7 2 2" xfId="15073" xr:uid="{FE1C61BC-FA16-4162-A73E-DE2E786C73B7}"/>
    <cellStyle name="40% - Accent1 3 7 3" xfId="10855" xr:uid="{12CC162A-B806-46E3-9D26-2157AF466335}"/>
    <cellStyle name="40% - Accent1 3 8" xfId="4557" xr:uid="{00000000-0005-0000-0000-000039040000}"/>
    <cellStyle name="40% - Accent1 3 8 2" xfId="13007" xr:uid="{5C1B8310-8307-47FC-933B-7D8E1167B828}"/>
    <cellStyle name="40% - Accent1 3 9" xfId="8789" xr:uid="{04314549-10E8-43B5-82FD-03C3E0351B04}"/>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2 2 2" xfId="15568" xr:uid="{4ED07A9F-C192-4785-85DD-E997242E2311}"/>
    <cellStyle name="40% - Accent1 4 2 2 3" xfId="11350" xr:uid="{2243F6F2-56B8-4FDA-9FE5-1B2B2AE3D370}"/>
    <cellStyle name="40% - Accent1 4 2 3" xfId="4973" xr:uid="{00000000-0005-0000-0000-00003E040000}"/>
    <cellStyle name="40% - Accent1 4 2 3 2" xfId="13423" xr:uid="{CC28BB22-9283-4D1D-9FEE-FBBDB33FC2A7}"/>
    <cellStyle name="40% - Accent1 4 2 4" xfId="9205" xr:uid="{05D141B9-C9DF-461D-8CE5-D9F8203123C9}"/>
    <cellStyle name="40% - Accent1 4 3" xfId="1078" xr:uid="{00000000-0005-0000-0000-00003F040000}"/>
    <cellStyle name="40% - Accent1 4 3 2" xfId="3309" xr:uid="{00000000-0005-0000-0000-000040040000}"/>
    <cellStyle name="40% - Accent1 4 3 2 2" xfId="7531" xr:uid="{00000000-0005-0000-0000-000041040000}"/>
    <cellStyle name="40% - Accent1 4 3 2 2 2" xfId="15981" xr:uid="{697F06BA-8D7C-426E-9771-0EDE79FBF532}"/>
    <cellStyle name="40% - Accent1 4 3 2 3" xfId="11763" xr:uid="{B10027E2-8113-403A-89A6-967842EC6DBC}"/>
    <cellStyle name="40% - Accent1 4 3 3" xfId="5386" xr:uid="{00000000-0005-0000-0000-000042040000}"/>
    <cellStyle name="40% - Accent1 4 3 3 2" xfId="13836" xr:uid="{272D2308-D021-4641-B3D9-C8F9D52B7582}"/>
    <cellStyle name="40% - Accent1 4 3 4" xfId="9618" xr:uid="{7EFE025E-9CF9-4FB7-84C2-85D01EEDB932}"/>
    <cellStyle name="40% - Accent1 4 4" xfId="1492" xr:uid="{00000000-0005-0000-0000-000043040000}"/>
    <cellStyle name="40% - Accent1 4 4 2" xfId="3722" xr:uid="{00000000-0005-0000-0000-000044040000}"/>
    <cellStyle name="40% - Accent1 4 4 2 2" xfId="7944" xr:uid="{00000000-0005-0000-0000-000045040000}"/>
    <cellStyle name="40% - Accent1 4 4 2 2 2" xfId="16394" xr:uid="{05E8CE78-7475-4E8F-A0EE-C0CDA62863DD}"/>
    <cellStyle name="40% - Accent1 4 4 2 3" xfId="12176" xr:uid="{0CC58A37-0BE4-4BB3-BE9C-B5E8B54710C0}"/>
    <cellStyle name="40% - Accent1 4 4 3" xfId="5799" xr:uid="{00000000-0005-0000-0000-000046040000}"/>
    <cellStyle name="40% - Accent1 4 4 3 2" xfId="14249" xr:uid="{EB115AB8-3C5A-43D3-B285-887DA6590C16}"/>
    <cellStyle name="40% - Accent1 4 4 4" xfId="10031" xr:uid="{AC30ED36-1A26-4BFC-8921-5A73CFE7C988}"/>
    <cellStyle name="40% - Accent1 4 5" xfId="1906" xr:uid="{00000000-0005-0000-0000-000047040000}"/>
    <cellStyle name="40% - Accent1 4 5 2" xfId="4135" xr:uid="{00000000-0005-0000-0000-000048040000}"/>
    <cellStyle name="40% - Accent1 4 5 2 2" xfId="8357" xr:uid="{00000000-0005-0000-0000-000049040000}"/>
    <cellStyle name="40% - Accent1 4 5 2 2 2" xfId="16807" xr:uid="{15B131B4-8886-4441-ACBE-4DF0728E8476}"/>
    <cellStyle name="40% - Accent1 4 5 2 3" xfId="12589" xr:uid="{BF1165A0-7A07-4D8C-93AD-E722FF4CCD72}"/>
    <cellStyle name="40% - Accent1 4 5 3" xfId="6212" xr:uid="{00000000-0005-0000-0000-00004A040000}"/>
    <cellStyle name="40% - Accent1 4 5 3 2" xfId="14662" xr:uid="{295A0A1B-10B0-4BCB-9445-E98F647860DA}"/>
    <cellStyle name="40% - Accent1 4 5 4" xfId="10444" xr:uid="{7B236D93-1F7B-4FF1-9AD7-BA92690967E7}"/>
    <cellStyle name="40% - Accent1 4 6" xfId="2319" xr:uid="{00000000-0005-0000-0000-00004B040000}"/>
    <cellStyle name="40% - Accent1 4 6 2" xfId="6625" xr:uid="{00000000-0005-0000-0000-00004C040000}"/>
    <cellStyle name="40% - Accent1 4 6 2 2" xfId="15075" xr:uid="{BF7FCCF6-65AA-4246-B94A-0C9EFCF88D28}"/>
    <cellStyle name="40% - Accent1 4 6 3" xfId="10857" xr:uid="{FD9DBFBC-5B42-41D7-9D1A-C6A4250E004B}"/>
    <cellStyle name="40% - Accent1 4 7" xfId="4559" xr:uid="{00000000-0005-0000-0000-00004D040000}"/>
    <cellStyle name="40% - Accent1 4 7 2" xfId="13009" xr:uid="{0F8AAFE0-6780-4C55-9F12-7F81AAB4CCF5}"/>
    <cellStyle name="40% - Accent1 4 8" xfId="8791" xr:uid="{3E9C3C57-190E-457B-801E-D1B7633541E9}"/>
    <cellStyle name="40% - Accent1 5" xfId="618" xr:uid="{00000000-0005-0000-0000-00004E040000}"/>
    <cellStyle name="40% - Accent1 5 2" xfId="2889" xr:uid="{00000000-0005-0000-0000-00004F040000}"/>
    <cellStyle name="40% - Accent1 5 2 2" xfId="7111" xr:uid="{00000000-0005-0000-0000-000050040000}"/>
    <cellStyle name="40% - Accent1 5 2 2 2" xfId="15561" xr:uid="{CB1C8D6B-EE9C-43BC-8CEE-6778312F926B}"/>
    <cellStyle name="40% - Accent1 5 2 3" xfId="11343" xr:uid="{73DE7843-E278-471E-BC4D-348F8ABACADB}"/>
    <cellStyle name="40% - Accent1 5 3" xfId="4966" xr:uid="{00000000-0005-0000-0000-000051040000}"/>
    <cellStyle name="40% - Accent1 5 3 2" xfId="13416" xr:uid="{65AC8A51-735E-468C-ABF5-DB012F481AC2}"/>
    <cellStyle name="40% - Accent1 5 4" xfId="9198" xr:uid="{0B6EDC79-DDB6-4D33-A8C7-3BC2239775FF}"/>
    <cellStyle name="40% - Accent1 6" xfId="1071" xr:uid="{00000000-0005-0000-0000-000052040000}"/>
    <cellStyle name="40% - Accent1 6 2" xfId="3302" xr:uid="{00000000-0005-0000-0000-000053040000}"/>
    <cellStyle name="40% - Accent1 6 2 2" xfId="7524" xr:uid="{00000000-0005-0000-0000-000054040000}"/>
    <cellStyle name="40% - Accent1 6 2 2 2" xfId="15974" xr:uid="{89491D15-2E57-4EAF-A6D1-41FF14D5F52C}"/>
    <cellStyle name="40% - Accent1 6 2 3" xfId="11756" xr:uid="{3613C16D-C404-4060-9FC3-7D0A311906CD}"/>
    <cellStyle name="40% - Accent1 6 3" xfId="5379" xr:uid="{00000000-0005-0000-0000-000055040000}"/>
    <cellStyle name="40% - Accent1 6 3 2" xfId="13829" xr:uid="{BD31A7D0-6797-40DE-B14E-712F3B1F03B1}"/>
    <cellStyle name="40% - Accent1 6 4" xfId="9611" xr:uid="{0C535AE4-6C77-4680-A4A5-8B2B06B5FA08}"/>
    <cellStyle name="40% - Accent1 7" xfId="1485" xr:uid="{00000000-0005-0000-0000-000056040000}"/>
    <cellStyle name="40% - Accent1 7 2" xfId="3715" xr:uid="{00000000-0005-0000-0000-000057040000}"/>
    <cellStyle name="40% - Accent1 7 2 2" xfId="7937" xr:uid="{00000000-0005-0000-0000-000058040000}"/>
    <cellStyle name="40% - Accent1 7 2 2 2" xfId="16387" xr:uid="{934C54CB-2C40-4613-B6D7-9BAF9D25272A}"/>
    <cellStyle name="40% - Accent1 7 2 3" xfId="12169" xr:uid="{C3DC2D66-329E-467E-889F-00D933C43BBA}"/>
    <cellStyle name="40% - Accent1 7 3" xfId="5792" xr:uid="{00000000-0005-0000-0000-000059040000}"/>
    <cellStyle name="40% - Accent1 7 3 2" xfId="14242" xr:uid="{29448821-8978-47BA-B9E2-F2EF920AF241}"/>
    <cellStyle name="40% - Accent1 7 4" xfId="10024" xr:uid="{487C4179-AAF6-4AAB-AD3E-7391C8BBDA27}"/>
    <cellStyle name="40% - Accent1 8" xfId="1899" xr:uid="{00000000-0005-0000-0000-00005A040000}"/>
    <cellStyle name="40% - Accent1 8 2" xfId="4128" xr:uid="{00000000-0005-0000-0000-00005B040000}"/>
    <cellStyle name="40% - Accent1 8 2 2" xfId="8350" xr:uid="{00000000-0005-0000-0000-00005C040000}"/>
    <cellStyle name="40% - Accent1 8 2 2 2" xfId="16800" xr:uid="{9BEF1AC3-31FD-4818-B0CE-0B3DCFA5F207}"/>
    <cellStyle name="40% - Accent1 8 2 3" xfId="12582" xr:uid="{90C9BA34-4B2E-4918-9AFE-E691560D810A}"/>
    <cellStyle name="40% - Accent1 8 3" xfId="6205" xr:uid="{00000000-0005-0000-0000-00005D040000}"/>
    <cellStyle name="40% - Accent1 8 3 2" xfId="14655" xr:uid="{DB0D8FB7-58DA-4AE7-AF92-4F50DDA01271}"/>
    <cellStyle name="40% - Accent1 8 4" xfId="10437" xr:uid="{B491C9BC-6B99-400A-8CD3-0C45695012BB}"/>
    <cellStyle name="40% - Accent1 9" xfId="2312" xr:uid="{00000000-0005-0000-0000-00005E040000}"/>
    <cellStyle name="40% - Accent1 9 2" xfId="6618" xr:uid="{00000000-0005-0000-0000-00005F040000}"/>
    <cellStyle name="40% - Accent1 9 2 2" xfId="15068" xr:uid="{566FBDDB-BDEB-4C6B-9059-EF79A6DAE62C}"/>
    <cellStyle name="40% - Accent1 9 3" xfId="10850" xr:uid="{2EA6251F-9287-4B99-8362-E9B4975D2B16}"/>
    <cellStyle name="40% - Accent2" xfId="57" builtinId="35" customBuiltin="1"/>
    <cellStyle name="40% - Accent2 10" xfId="4560" xr:uid="{00000000-0005-0000-0000-000061040000}"/>
    <cellStyle name="40% - Accent2 10 2" xfId="13010" xr:uid="{801D266B-E5DA-4C9D-9E0F-E42918FA5350}"/>
    <cellStyle name="40% - Accent2 11" xfId="8792" xr:uid="{F2FE7389-503A-420A-BB8B-AB05682F1885}"/>
    <cellStyle name="40% - Accent2 2" xfId="58" xr:uid="{00000000-0005-0000-0000-000062040000}"/>
    <cellStyle name="40% - Accent2 2 10" xfId="8793" xr:uid="{A2FBCB14-76E6-468E-B4C3-C3085DF26CE1}"/>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2 2 2" xfId="15572" xr:uid="{753B7030-8E62-4260-A4B9-933EDFF6310D}"/>
    <cellStyle name="40% - Accent2 2 2 2 2 2 3" xfId="11354" xr:uid="{276D966C-28A9-4C01-83B4-310F2A392333}"/>
    <cellStyle name="40% - Accent2 2 2 2 2 3" xfId="4977" xr:uid="{00000000-0005-0000-0000-000068040000}"/>
    <cellStyle name="40% - Accent2 2 2 2 2 3 2" xfId="13427" xr:uid="{3AEB093F-BEA0-4E36-BB10-46E95B1ED719}"/>
    <cellStyle name="40% - Accent2 2 2 2 2 4" xfId="9209" xr:uid="{C1FD89BA-BF17-4020-96B5-F95E021C971F}"/>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2 2 2" xfId="15985" xr:uid="{5558EC92-00CD-4C47-A10B-360A61D30F6A}"/>
    <cellStyle name="40% - Accent2 2 2 2 3 2 3" xfId="11767" xr:uid="{49D21C82-240F-4413-BFBB-496190B38B07}"/>
    <cellStyle name="40% - Accent2 2 2 2 3 3" xfId="5390" xr:uid="{00000000-0005-0000-0000-00006C040000}"/>
    <cellStyle name="40% - Accent2 2 2 2 3 3 2" xfId="13840" xr:uid="{16CAE0CB-9688-44D4-8052-700EA3B829FE}"/>
    <cellStyle name="40% - Accent2 2 2 2 3 4" xfId="9622" xr:uid="{6DD80EAA-734A-40B3-A500-17FB437D452C}"/>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2 2 2" xfId="16398" xr:uid="{6EA00BED-FD58-4D1F-BC7C-E2CABAF8F8B3}"/>
    <cellStyle name="40% - Accent2 2 2 2 4 2 3" xfId="12180" xr:uid="{698A98E8-B575-4B93-9FA9-8363B4743C44}"/>
    <cellStyle name="40% - Accent2 2 2 2 4 3" xfId="5803" xr:uid="{00000000-0005-0000-0000-000070040000}"/>
    <cellStyle name="40% - Accent2 2 2 2 4 3 2" xfId="14253" xr:uid="{84393480-AF11-429C-9E44-2AB2D36206D8}"/>
    <cellStyle name="40% - Accent2 2 2 2 4 4" xfId="10035" xr:uid="{0254E783-7D11-479C-80CD-E77257C3B90A}"/>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2 2 2" xfId="16811" xr:uid="{64C9A23F-E1D8-4098-9F7D-0D73D75C3BAE}"/>
    <cellStyle name="40% - Accent2 2 2 2 5 2 3" xfId="12593" xr:uid="{23CB2368-6198-483E-A468-423BBFDD7C7E}"/>
    <cellStyle name="40% - Accent2 2 2 2 5 3" xfId="6216" xr:uid="{00000000-0005-0000-0000-000074040000}"/>
    <cellStyle name="40% - Accent2 2 2 2 5 3 2" xfId="14666" xr:uid="{BFE90973-6B28-4DFA-8B6D-3AF8EB0F9785}"/>
    <cellStyle name="40% - Accent2 2 2 2 5 4" xfId="10448" xr:uid="{809E5583-AC04-4C04-9E45-EA53A1ADEC91}"/>
    <cellStyle name="40% - Accent2 2 2 2 6" xfId="2323" xr:uid="{00000000-0005-0000-0000-000075040000}"/>
    <cellStyle name="40% - Accent2 2 2 2 6 2" xfId="6629" xr:uid="{00000000-0005-0000-0000-000076040000}"/>
    <cellStyle name="40% - Accent2 2 2 2 6 2 2" xfId="15079" xr:uid="{0D6F8F8E-F8D9-4EEB-86DA-F35F0B9BBC95}"/>
    <cellStyle name="40% - Accent2 2 2 2 6 3" xfId="10861" xr:uid="{1B974945-2A57-47F0-B26A-F9C4E433BABF}"/>
    <cellStyle name="40% - Accent2 2 2 2 7" xfId="4563" xr:uid="{00000000-0005-0000-0000-000077040000}"/>
    <cellStyle name="40% - Accent2 2 2 2 7 2" xfId="13013" xr:uid="{E0910253-ABE9-46DB-A9F3-19B7247A3C91}"/>
    <cellStyle name="40% - Accent2 2 2 2 8" xfId="8795" xr:uid="{DB87C5FC-D563-4628-B690-44875AE95DAC}"/>
    <cellStyle name="40% - Accent2 2 2 3" xfId="628" xr:uid="{00000000-0005-0000-0000-000078040000}"/>
    <cellStyle name="40% - Accent2 2 2 3 2" xfId="2899" xr:uid="{00000000-0005-0000-0000-000079040000}"/>
    <cellStyle name="40% - Accent2 2 2 3 2 2" xfId="7121" xr:uid="{00000000-0005-0000-0000-00007A040000}"/>
    <cellStyle name="40% - Accent2 2 2 3 2 2 2" xfId="15571" xr:uid="{7BB1CC36-C88F-42BC-B525-5DF104BBD64A}"/>
    <cellStyle name="40% - Accent2 2 2 3 2 3" xfId="11353" xr:uid="{EE2DC464-4F47-4DEE-9DE8-B56993FFD560}"/>
    <cellStyle name="40% - Accent2 2 2 3 3" xfId="4976" xr:uid="{00000000-0005-0000-0000-00007B040000}"/>
    <cellStyle name="40% - Accent2 2 2 3 3 2" xfId="13426" xr:uid="{E5B20458-1BB2-45AA-88C5-B898C05A5CAF}"/>
    <cellStyle name="40% - Accent2 2 2 3 4" xfId="9208" xr:uid="{BD2DEC6B-CA29-48D3-AFB5-10AEA80FC0BF}"/>
    <cellStyle name="40% - Accent2 2 2 4" xfId="1081" xr:uid="{00000000-0005-0000-0000-00007C040000}"/>
    <cellStyle name="40% - Accent2 2 2 4 2" xfId="3312" xr:uid="{00000000-0005-0000-0000-00007D040000}"/>
    <cellStyle name="40% - Accent2 2 2 4 2 2" xfId="7534" xr:uid="{00000000-0005-0000-0000-00007E040000}"/>
    <cellStyle name="40% - Accent2 2 2 4 2 2 2" xfId="15984" xr:uid="{119F739F-F084-4B64-9131-4D2FBE032F85}"/>
    <cellStyle name="40% - Accent2 2 2 4 2 3" xfId="11766" xr:uid="{14AA92DB-87AE-4987-A61E-F32113798FD2}"/>
    <cellStyle name="40% - Accent2 2 2 4 3" xfId="5389" xr:uid="{00000000-0005-0000-0000-00007F040000}"/>
    <cellStyle name="40% - Accent2 2 2 4 3 2" xfId="13839" xr:uid="{474A306D-6973-45B7-BAEA-F56A32AEB2A0}"/>
    <cellStyle name="40% - Accent2 2 2 4 4" xfId="9621" xr:uid="{7426DF51-275A-4B1F-B154-44BC74954F6A}"/>
    <cellStyle name="40% - Accent2 2 2 5" xfId="1495" xr:uid="{00000000-0005-0000-0000-000080040000}"/>
    <cellStyle name="40% - Accent2 2 2 5 2" xfId="3725" xr:uid="{00000000-0005-0000-0000-000081040000}"/>
    <cellStyle name="40% - Accent2 2 2 5 2 2" xfId="7947" xr:uid="{00000000-0005-0000-0000-000082040000}"/>
    <cellStyle name="40% - Accent2 2 2 5 2 2 2" xfId="16397" xr:uid="{7109A215-09DD-4889-AB6B-CE67212AB135}"/>
    <cellStyle name="40% - Accent2 2 2 5 2 3" xfId="12179" xr:uid="{1EAB6567-E4A9-44C6-A54E-7DC067619F7D}"/>
    <cellStyle name="40% - Accent2 2 2 5 3" xfId="5802" xr:uid="{00000000-0005-0000-0000-000083040000}"/>
    <cellStyle name="40% - Accent2 2 2 5 3 2" xfId="14252" xr:uid="{4831A8BB-E8CE-487C-B6FC-735B68EBA4BB}"/>
    <cellStyle name="40% - Accent2 2 2 5 4" xfId="10034" xr:uid="{96CBFA59-25A5-4D5E-BA8B-7E38D4EFA43F}"/>
    <cellStyle name="40% - Accent2 2 2 6" xfId="1909" xr:uid="{00000000-0005-0000-0000-000084040000}"/>
    <cellStyle name="40% - Accent2 2 2 6 2" xfId="4138" xr:uid="{00000000-0005-0000-0000-000085040000}"/>
    <cellStyle name="40% - Accent2 2 2 6 2 2" xfId="8360" xr:uid="{00000000-0005-0000-0000-000086040000}"/>
    <cellStyle name="40% - Accent2 2 2 6 2 2 2" xfId="16810" xr:uid="{69E1E397-33A6-4688-B4EE-045557339FCB}"/>
    <cellStyle name="40% - Accent2 2 2 6 2 3" xfId="12592" xr:uid="{D3B5EF08-98C9-4277-8DF7-32F1A733C043}"/>
    <cellStyle name="40% - Accent2 2 2 6 3" xfId="6215" xr:uid="{00000000-0005-0000-0000-000087040000}"/>
    <cellStyle name="40% - Accent2 2 2 6 3 2" xfId="14665" xr:uid="{922348FE-4B64-4D96-8C21-976324C34A8B}"/>
    <cellStyle name="40% - Accent2 2 2 6 4" xfId="10447" xr:uid="{1CA3A974-B082-4F23-B077-C15F81A61E7C}"/>
    <cellStyle name="40% - Accent2 2 2 7" xfId="2322" xr:uid="{00000000-0005-0000-0000-000088040000}"/>
    <cellStyle name="40% - Accent2 2 2 7 2" xfId="6628" xr:uid="{00000000-0005-0000-0000-000089040000}"/>
    <cellStyle name="40% - Accent2 2 2 7 2 2" xfId="15078" xr:uid="{EA68702C-2A63-4967-958C-5A4B1E5E3DD7}"/>
    <cellStyle name="40% - Accent2 2 2 7 3" xfId="10860" xr:uid="{2A952C6B-F03B-4713-BF5E-F77F836EBF41}"/>
    <cellStyle name="40% - Accent2 2 2 8" xfId="4562" xr:uid="{00000000-0005-0000-0000-00008A040000}"/>
    <cellStyle name="40% - Accent2 2 2 8 2" xfId="13012" xr:uid="{126B67AD-BF65-4B0D-A88B-2B0C72251A60}"/>
    <cellStyle name="40% - Accent2 2 2 9" xfId="8794" xr:uid="{E24EEB83-5AB4-40BE-96EE-D11023CE4CFE}"/>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2 2 2" xfId="15573" xr:uid="{23849BF2-389F-4479-B32B-12C526FBE199}"/>
    <cellStyle name="40% - Accent2 2 3 2 2 3" xfId="11355" xr:uid="{14E6DA7F-83DE-4B7D-8A20-0198F6F47F07}"/>
    <cellStyle name="40% - Accent2 2 3 2 3" xfId="4978" xr:uid="{00000000-0005-0000-0000-00008F040000}"/>
    <cellStyle name="40% - Accent2 2 3 2 3 2" xfId="13428" xr:uid="{58042762-FF39-4156-B891-E9971E0A8B74}"/>
    <cellStyle name="40% - Accent2 2 3 2 4" xfId="9210" xr:uid="{F7399115-4124-45FC-82CD-08FDEF89A33C}"/>
    <cellStyle name="40% - Accent2 2 3 3" xfId="1083" xr:uid="{00000000-0005-0000-0000-000090040000}"/>
    <cellStyle name="40% - Accent2 2 3 3 2" xfId="3314" xr:uid="{00000000-0005-0000-0000-000091040000}"/>
    <cellStyle name="40% - Accent2 2 3 3 2 2" xfId="7536" xr:uid="{00000000-0005-0000-0000-000092040000}"/>
    <cellStyle name="40% - Accent2 2 3 3 2 2 2" xfId="15986" xr:uid="{F89BD31A-77F8-490B-847F-15FC718F4E82}"/>
    <cellStyle name="40% - Accent2 2 3 3 2 3" xfId="11768" xr:uid="{18C51380-D1AC-476C-B5DF-6C3B32D2E9DC}"/>
    <cellStyle name="40% - Accent2 2 3 3 3" xfId="5391" xr:uid="{00000000-0005-0000-0000-000093040000}"/>
    <cellStyle name="40% - Accent2 2 3 3 3 2" xfId="13841" xr:uid="{620E21E1-D72A-487F-9D4D-A30C7AD92A73}"/>
    <cellStyle name="40% - Accent2 2 3 3 4" xfId="9623" xr:uid="{B1B568EE-9BE7-481D-B162-550624C21B23}"/>
    <cellStyle name="40% - Accent2 2 3 4" xfId="1497" xr:uid="{00000000-0005-0000-0000-000094040000}"/>
    <cellStyle name="40% - Accent2 2 3 4 2" xfId="3727" xr:uid="{00000000-0005-0000-0000-000095040000}"/>
    <cellStyle name="40% - Accent2 2 3 4 2 2" xfId="7949" xr:uid="{00000000-0005-0000-0000-000096040000}"/>
    <cellStyle name="40% - Accent2 2 3 4 2 2 2" xfId="16399" xr:uid="{056771B6-A3D5-4662-9063-B22B941A8DE3}"/>
    <cellStyle name="40% - Accent2 2 3 4 2 3" xfId="12181" xr:uid="{A5BD779C-E12B-4F2C-9A41-0D57AC9A3F8C}"/>
    <cellStyle name="40% - Accent2 2 3 4 3" xfId="5804" xr:uid="{00000000-0005-0000-0000-000097040000}"/>
    <cellStyle name="40% - Accent2 2 3 4 3 2" xfId="14254" xr:uid="{5CCB1625-6155-4FF9-AF61-66B45DEDE45B}"/>
    <cellStyle name="40% - Accent2 2 3 4 4" xfId="10036" xr:uid="{9818BBBB-1082-4909-8F72-C1491E359EFF}"/>
    <cellStyle name="40% - Accent2 2 3 5" xfId="1911" xr:uid="{00000000-0005-0000-0000-000098040000}"/>
    <cellStyle name="40% - Accent2 2 3 5 2" xfId="4140" xr:uid="{00000000-0005-0000-0000-000099040000}"/>
    <cellStyle name="40% - Accent2 2 3 5 2 2" xfId="8362" xr:uid="{00000000-0005-0000-0000-00009A040000}"/>
    <cellStyle name="40% - Accent2 2 3 5 2 2 2" xfId="16812" xr:uid="{6D2E5072-B869-4111-A2E7-82B3FAC6C996}"/>
    <cellStyle name="40% - Accent2 2 3 5 2 3" xfId="12594" xr:uid="{9A37D6C8-DE27-4C1D-9DF7-31553D484756}"/>
    <cellStyle name="40% - Accent2 2 3 5 3" xfId="6217" xr:uid="{00000000-0005-0000-0000-00009B040000}"/>
    <cellStyle name="40% - Accent2 2 3 5 3 2" xfId="14667" xr:uid="{F8BDEE0C-8BA8-49C7-BD78-8957174F2087}"/>
    <cellStyle name="40% - Accent2 2 3 5 4" xfId="10449" xr:uid="{F418F300-B645-44F8-8054-7DAF68FDBFEE}"/>
    <cellStyle name="40% - Accent2 2 3 6" xfId="2324" xr:uid="{00000000-0005-0000-0000-00009C040000}"/>
    <cellStyle name="40% - Accent2 2 3 6 2" xfId="6630" xr:uid="{00000000-0005-0000-0000-00009D040000}"/>
    <cellStyle name="40% - Accent2 2 3 6 2 2" xfId="15080" xr:uid="{5FC81E36-7EC8-44AC-B1BC-980CD84978AA}"/>
    <cellStyle name="40% - Accent2 2 3 6 3" xfId="10862" xr:uid="{2287F57B-DC0A-4560-AE87-78D11B45D7B3}"/>
    <cellStyle name="40% - Accent2 2 3 7" xfId="4564" xr:uid="{00000000-0005-0000-0000-00009E040000}"/>
    <cellStyle name="40% - Accent2 2 3 7 2" xfId="13014" xr:uid="{44C76B28-9BF7-4082-A7DF-1EE4130F03A5}"/>
    <cellStyle name="40% - Accent2 2 3 8" xfId="8796" xr:uid="{2A0C18B6-CD28-4F55-BDA2-49B704CCE302}"/>
    <cellStyle name="40% - Accent2 2 4" xfId="627" xr:uid="{00000000-0005-0000-0000-00009F040000}"/>
    <cellStyle name="40% - Accent2 2 4 2" xfId="2898" xr:uid="{00000000-0005-0000-0000-0000A0040000}"/>
    <cellStyle name="40% - Accent2 2 4 2 2" xfId="7120" xr:uid="{00000000-0005-0000-0000-0000A1040000}"/>
    <cellStyle name="40% - Accent2 2 4 2 2 2" xfId="15570" xr:uid="{63FBA038-01A7-4CEE-9212-92F48369B6AA}"/>
    <cellStyle name="40% - Accent2 2 4 2 3" xfId="11352" xr:uid="{1042FB9B-76FB-4F68-8AF5-CF83570AF031}"/>
    <cellStyle name="40% - Accent2 2 4 3" xfId="4975" xr:uid="{00000000-0005-0000-0000-0000A2040000}"/>
    <cellStyle name="40% - Accent2 2 4 3 2" xfId="13425" xr:uid="{72D5C6B1-0A33-4B50-AA90-E3083B1628D9}"/>
    <cellStyle name="40% - Accent2 2 4 4" xfId="9207" xr:uid="{4F8D4E03-2167-4655-BA6C-3719180E89A0}"/>
    <cellStyle name="40% - Accent2 2 5" xfId="1080" xr:uid="{00000000-0005-0000-0000-0000A3040000}"/>
    <cellStyle name="40% - Accent2 2 5 2" xfId="3311" xr:uid="{00000000-0005-0000-0000-0000A4040000}"/>
    <cellStyle name="40% - Accent2 2 5 2 2" xfId="7533" xr:uid="{00000000-0005-0000-0000-0000A5040000}"/>
    <cellStyle name="40% - Accent2 2 5 2 2 2" xfId="15983" xr:uid="{C71F858B-A2A0-40A8-B3F7-BCF7AF5B5CC3}"/>
    <cellStyle name="40% - Accent2 2 5 2 3" xfId="11765" xr:uid="{747693C9-C182-4CC3-96D3-7AEB06E0C20C}"/>
    <cellStyle name="40% - Accent2 2 5 3" xfId="5388" xr:uid="{00000000-0005-0000-0000-0000A6040000}"/>
    <cellStyle name="40% - Accent2 2 5 3 2" xfId="13838" xr:uid="{7B0E6C9F-4EA2-4286-8A64-7618D89D27DF}"/>
    <cellStyle name="40% - Accent2 2 5 4" xfId="9620" xr:uid="{6A24C04F-C4CB-4951-A96F-50111A8CCF99}"/>
    <cellStyle name="40% - Accent2 2 6" xfId="1494" xr:uid="{00000000-0005-0000-0000-0000A7040000}"/>
    <cellStyle name="40% - Accent2 2 6 2" xfId="3724" xr:uid="{00000000-0005-0000-0000-0000A8040000}"/>
    <cellStyle name="40% - Accent2 2 6 2 2" xfId="7946" xr:uid="{00000000-0005-0000-0000-0000A9040000}"/>
    <cellStyle name="40% - Accent2 2 6 2 2 2" xfId="16396" xr:uid="{F868ED86-80D5-441D-8FAE-F74535D37B8E}"/>
    <cellStyle name="40% - Accent2 2 6 2 3" xfId="12178" xr:uid="{458C4B8A-56A6-45A4-B14A-8C144CA2F7FB}"/>
    <cellStyle name="40% - Accent2 2 6 3" xfId="5801" xr:uid="{00000000-0005-0000-0000-0000AA040000}"/>
    <cellStyle name="40% - Accent2 2 6 3 2" xfId="14251" xr:uid="{1EB0EA54-879F-416D-94E1-FCEFDF755617}"/>
    <cellStyle name="40% - Accent2 2 6 4" xfId="10033" xr:uid="{2901C727-142B-46EB-892E-145701F5846E}"/>
    <cellStyle name="40% - Accent2 2 7" xfId="1908" xr:uid="{00000000-0005-0000-0000-0000AB040000}"/>
    <cellStyle name="40% - Accent2 2 7 2" xfId="4137" xr:uid="{00000000-0005-0000-0000-0000AC040000}"/>
    <cellStyle name="40% - Accent2 2 7 2 2" xfId="8359" xr:uid="{00000000-0005-0000-0000-0000AD040000}"/>
    <cellStyle name="40% - Accent2 2 7 2 2 2" xfId="16809" xr:uid="{C352F4E8-E129-4058-96ED-128920238D0A}"/>
    <cellStyle name="40% - Accent2 2 7 2 3" xfId="12591" xr:uid="{25C74A90-9E4A-4477-88E8-58F584075F25}"/>
    <cellStyle name="40% - Accent2 2 7 3" xfId="6214" xr:uid="{00000000-0005-0000-0000-0000AE040000}"/>
    <cellStyle name="40% - Accent2 2 7 3 2" xfId="14664" xr:uid="{A1441EFA-0B18-4866-B1CB-9CC43ABFE9C8}"/>
    <cellStyle name="40% - Accent2 2 7 4" xfId="10446" xr:uid="{FA076EFD-4663-4B92-876C-883500464852}"/>
    <cellStyle name="40% - Accent2 2 8" xfId="2321" xr:uid="{00000000-0005-0000-0000-0000AF040000}"/>
    <cellStyle name="40% - Accent2 2 8 2" xfId="6627" xr:uid="{00000000-0005-0000-0000-0000B0040000}"/>
    <cellStyle name="40% - Accent2 2 8 2 2" xfId="15077" xr:uid="{B7A19105-430D-4C50-80BB-53027AF471B6}"/>
    <cellStyle name="40% - Accent2 2 8 3" xfId="10859" xr:uid="{BDD0A3E2-3C02-486C-860B-D2E033F34F82}"/>
    <cellStyle name="40% - Accent2 2 9" xfId="4561" xr:uid="{00000000-0005-0000-0000-0000B1040000}"/>
    <cellStyle name="40% - Accent2 2 9 2" xfId="13011" xr:uid="{534137C9-D05A-4BF2-95AB-0BB3F9EC5978}"/>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2 2 2" xfId="15575" xr:uid="{DC9D9639-7E99-40A5-8634-301644873BBB}"/>
    <cellStyle name="40% - Accent2 3 2 2 2 3" xfId="11357" xr:uid="{3C07D1F6-AA6D-4856-9219-8409C2E5384F}"/>
    <cellStyle name="40% - Accent2 3 2 2 3" xfId="4980" xr:uid="{00000000-0005-0000-0000-0000B7040000}"/>
    <cellStyle name="40% - Accent2 3 2 2 3 2" xfId="13430" xr:uid="{415B0241-95A0-4FF9-89A3-D2C8E7603DBC}"/>
    <cellStyle name="40% - Accent2 3 2 2 4" xfId="9212" xr:uid="{A63E34D7-4F8B-4BE5-AD54-AF6C70FEF14B}"/>
    <cellStyle name="40% - Accent2 3 2 3" xfId="1085" xr:uid="{00000000-0005-0000-0000-0000B8040000}"/>
    <cellStyle name="40% - Accent2 3 2 3 2" xfId="3316" xr:uid="{00000000-0005-0000-0000-0000B9040000}"/>
    <cellStyle name="40% - Accent2 3 2 3 2 2" xfId="7538" xr:uid="{00000000-0005-0000-0000-0000BA040000}"/>
    <cellStyle name="40% - Accent2 3 2 3 2 2 2" xfId="15988" xr:uid="{C87CC480-0CD8-4895-8510-D3F7253F0100}"/>
    <cellStyle name="40% - Accent2 3 2 3 2 3" xfId="11770" xr:uid="{71172401-D7FA-4F9F-909F-B72ED82BEFBA}"/>
    <cellStyle name="40% - Accent2 3 2 3 3" xfId="5393" xr:uid="{00000000-0005-0000-0000-0000BB040000}"/>
    <cellStyle name="40% - Accent2 3 2 3 3 2" xfId="13843" xr:uid="{56CB45EF-430C-401E-90A6-86095F9B9201}"/>
    <cellStyle name="40% - Accent2 3 2 3 4" xfId="9625" xr:uid="{F3786427-38E4-468F-A11A-34914C941E93}"/>
    <cellStyle name="40% - Accent2 3 2 4" xfId="1499" xr:uid="{00000000-0005-0000-0000-0000BC040000}"/>
    <cellStyle name="40% - Accent2 3 2 4 2" xfId="3729" xr:uid="{00000000-0005-0000-0000-0000BD040000}"/>
    <cellStyle name="40% - Accent2 3 2 4 2 2" xfId="7951" xr:uid="{00000000-0005-0000-0000-0000BE040000}"/>
    <cellStyle name="40% - Accent2 3 2 4 2 2 2" xfId="16401" xr:uid="{3C6B9377-1BD5-4480-B115-E27D7899A848}"/>
    <cellStyle name="40% - Accent2 3 2 4 2 3" xfId="12183" xr:uid="{4A935597-5A9F-4B54-8034-832B98AF5351}"/>
    <cellStyle name="40% - Accent2 3 2 4 3" xfId="5806" xr:uid="{00000000-0005-0000-0000-0000BF040000}"/>
    <cellStyle name="40% - Accent2 3 2 4 3 2" xfId="14256" xr:uid="{8249BD91-888F-45E0-B801-B678DB9D1964}"/>
    <cellStyle name="40% - Accent2 3 2 4 4" xfId="10038" xr:uid="{2FF34C34-E67A-4526-9EF0-A2EB0B3E436D}"/>
    <cellStyle name="40% - Accent2 3 2 5" xfId="1913" xr:uid="{00000000-0005-0000-0000-0000C0040000}"/>
    <cellStyle name="40% - Accent2 3 2 5 2" xfId="4142" xr:uid="{00000000-0005-0000-0000-0000C1040000}"/>
    <cellStyle name="40% - Accent2 3 2 5 2 2" xfId="8364" xr:uid="{00000000-0005-0000-0000-0000C2040000}"/>
    <cellStyle name="40% - Accent2 3 2 5 2 2 2" xfId="16814" xr:uid="{650D41B1-0DF7-4608-AF53-38277E9542C2}"/>
    <cellStyle name="40% - Accent2 3 2 5 2 3" xfId="12596" xr:uid="{5E84F579-B980-4513-A20F-FB2D4FF18508}"/>
    <cellStyle name="40% - Accent2 3 2 5 3" xfId="6219" xr:uid="{00000000-0005-0000-0000-0000C3040000}"/>
    <cellStyle name="40% - Accent2 3 2 5 3 2" xfId="14669" xr:uid="{CD314949-C0E9-4CB2-8C1C-FCE3B3811650}"/>
    <cellStyle name="40% - Accent2 3 2 5 4" xfId="10451" xr:uid="{842C486B-7723-4634-9EBC-9FAF24FB1BED}"/>
    <cellStyle name="40% - Accent2 3 2 6" xfId="2326" xr:uid="{00000000-0005-0000-0000-0000C4040000}"/>
    <cellStyle name="40% - Accent2 3 2 6 2" xfId="6632" xr:uid="{00000000-0005-0000-0000-0000C5040000}"/>
    <cellStyle name="40% - Accent2 3 2 6 2 2" xfId="15082" xr:uid="{BA19B10E-8E8A-4D9B-9664-F2F728168343}"/>
    <cellStyle name="40% - Accent2 3 2 6 3" xfId="10864" xr:uid="{DBE57785-9B2E-4082-852C-8650A1BDAEB7}"/>
    <cellStyle name="40% - Accent2 3 2 7" xfId="4566" xr:uid="{00000000-0005-0000-0000-0000C6040000}"/>
    <cellStyle name="40% - Accent2 3 2 7 2" xfId="13016" xr:uid="{00D865F3-1246-4F04-96A1-2CD235D34C33}"/>
    <cellStyle name="40% - Accent2 3 2 8" xfId="8798" xr:uid="{C6C51DA7-B491-4B86-B6EC-49C9F3C81EA7}"/>
    <cellStyle name="40% - Accent2 3 3" xfId="631" xr:uid="{00000000-0005-0000-0000-0000C7040000}"/>
    <cellStyle name="40% - Accent2 3 3 2" xfId="2902" xr:uid="{00000000-0005-0000-0000-0000C8040000}"/>
    <cellStyle name="40% - Accent2 3 3 2 2" xfId="7124" xr:uid="{00000000-0005-0000-0000-0000C9040000}"/>
    <cellStyle name="40% - Accent2 3 3 2 2 2" xfId="15574" xr:uid="{23AD7DD9-1F5D-4FC7-A5E2-DCC7ACBF17C2}"/>
    <cellStyle name="40% - Accent2 3 3 2 3" xfId="11356" xr:uid="{7AE967E5-516B-4AFF-9F36-2EC598D9D92F}"/>
    <cellStyle name="40% - Accent2 3 3 3" xfId="4979" xr:uid="{00000000-0005-0000-0000-0000CA040000}"/>
    <cellStyle name="40% - Accent2 3 3 3 2" xfId="13429" xr:uid="{21C0894E-A547-4774-8730-37CE21CB9303}"/>
    <cellStyle name="40% - Accent2 3 3 4" xfId="9211" xr:uid="{E7C033B1-1B2F-483C-857C-781A1B93CCCA}"/>
    <cellStyle name="40% - Accent2 3 4" xfId="1084" xr:uid="{00000000-0005-0000-0000-0000CB040000}"/>
    <cellStyle name="40% - Accent2 3 4 2" xfId="3315" xr:uid="{00000000-0005-0000-0000-0000CC040000}"/>
    <cellStyle name="40% - Accent2 3 4 2 2" xfId="7537" xr:uid="{00000000-0005-0000-0000-0000CD040000}"/>
    <cellStyle name="40% - Accent2 3 4 2 2 2" xfId="15987" xr:uid="{EFB17109-F37B-4DA7-925A-9A5766FB9075}"/>
    <cellStyle name="40% - Accent2 3 4 2 3" xfId="11769" xr:uid="{13788DC6-83F8-4013-ACA5-5DF5EEFDD60C}"/>
    <cellStyle name="40% - Accent2 3 4 3" xfId="5392" xr:uid="{00000000-0005-0000-0000-0000CE040000}"/>
    <cellStyle name="40% - Accent2 3 4 3 2" xfId="13842" xr:uid="{EC627274-13C9-4358-9116-331FDCBB458F}"/>
    <cellStyle name="40% - Accent2 3 4 4" xfId="9624" xr:uid="{D266F40D-F7B8-42F5-83D4-676585E0B806}"/>
    <cellStyle name="40% - Accent2 3 5" xfId="1498" xr:uid="{00000000-0005-0000-0000-0000CF040000}"/>
    <cellStyle name="40% - Accent2 3 5 2" xfId="3728" xr:uid="{00000000-0005-0000-0000-0000D0040000}"/>
    <cellStyle name="40% - Accent2 3 5 2 2" xfId="7950" xr:uid="{00000000-0005-0000-0000-0000D1040000}"/>
    <cellStyle name="40% - Accent2 3 5 2 2 2" xfId="16400" xr:uid="{D9BE3BF0-642B-43D2-8800-13DD652B45A9}"/>
    <cellStyle name="40% - Accent2 3 5 2 3" xfId="12182" xr:uid="{AFA41D6E-127B-4E6F-92FC-33EF02188991}"/>
    <cellStyle name="40% - Accent2 3 5 3" xfId="5805" xr:uid="{00000000-0005-0000-0000-0000D2040000}"/>
    <cellStyle name="40% - Accent2 3 5 3 2" xfId="14255" xr:uid="{29F9596C-5CFD-4DC8-97AE-9A5F78094B2D}"/>
    <cellStyle name="40% - Accent2 3 5 4" xfId="10037" xr:uid="{8B1CBD75-E05A-40A7-8A37-E808C529F07A}"/>
    <cellStyle name="40% - Accent2 3 6" xfId="1912" xr:uid="{00000000-0005-0000-0000-0000D3040000}"/>
    <cellStyle name="40% - Accent2 3 6 2" xfId="4141" xr:uid="{00000000-0005-0000-0000-0000D4040000}"/>
    <cellStyle name="40% - Accent2 3 6 2 2" xfId="8363" xr:uid="{00000000-0005-0000-0000-0000D5040000}"/>
    <cellStyle name="40% - Accent2 3 6 2 2 2" xfId="16813" xr:uid="{621E862A-ED9F-4F52-B686-F759D124DE6F}"/>
    <cellStyle name="40% - Accent2 3 6 2 3" xfId="12595" xr:uid="{F26DA44F-AE48-4B4C-86CD-87A6D4A122F7}"/>
    <cellStyle name="40% - Accent2 3 6 3" xfId="6218" xr:uid="{00000000-0005-0000-0000-0000D6040000}"/>
    <cellStyle name="40% - Accent2 3 6 3 2" xfId="14668" xr:uid="{AE439870-93B4-4830-9B9A-14500C919838}"/>
    <cellStyle name="40% - Accent2 3 6 4" xfId="10450" xr:uid="{EC947774-4BF2-4F80-AA49-47839C64E1C2}"/>
    <cellStyle name="40% - Accent2 3 7" xfId="2325" xr:uid="{00000000-0005-0000-0000-0000D7040000}"/>
    <cellStyle name="40% - Accent2 3 7 2" xfId="6631" xr:uid="{00000000-0005-0000-0000-0000D8040000}"/>
    <cellStyle name="40% - Accent2 3 7 2 2" xfId="15081" xr:uid="{3F43EC85-78AC-43D0-8C3A-9B416E43D9D7}"/>
    <cellStyle name="40% - Accent2 3 7 3" xfId="10863" xr:uid="{133F8CB2-FCCB-49D9-937F-C22EA209FE7D}"/>
    <cellStyle name="40% - Accent2 3 8" xfId="4565" xr:uid="{00000000-0005-0000-0000-0000D9040000}"/>
    <cellStyle name="40% - Accent2 3 8 2" xfId="13015" xr:uid="{57E81810-10CB-4972-9875-A73EE0046055}"/>
    <cellStyle name="40% - Accent2 3 9" xfId="8797" xr:uid="{729381C3-D12B-4477-A670-90A4A081E386}"/>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2 2 2" xfId="15576" xr:uid="{D260FFBC-7772-46CC-BC06-32407161F013}"/>
    <cellStyle name="40% - Accent2 4 2 2 3" xfId="11358" xr:uid="{43494FBD-89EE-4817-B731-C586494308AD}"/>
    <cellStyle name="40% - Accent2 4 2 3" xfId="4981" xr:uid="{00000000-0005-0000-0000-0000DE040000}"/>
    <cellStyle name="40% - Accent2 4 2 3 2" xfId="13431" xr:uid="{AA686629-C6AA-4BA7-843B-D0881F9E560C}"/>
    <cellStyle name="40% - Accent2 4 2 4" xfId="9213" xr:uid="{68F89A29-BC81-4BA4-8DCA-89EA171E0382}"/>
    <cellStyle name="40% - Accent2 4 3" xfId="1086" xr:uid="{00000000-0005-0000-0000-0000DF040000}"/>
    <cellStyle name="40% - Accent2 4 3 2" xfId="3317" xr:uid="{00000000-0005-0000-0000-0000E0040000}"/>
    <cellStyle name="40% - Accent2 4 3 2 2" xfId="7539" xr:uid="{00000000-0005-0000-0000-0000E1040000}"/>
    <cellStyle name="40% - Accent2 4 3 2 2 2" xfId="15989" xr:uid="{7CCA941C-BBF9-4049-B5C0-B4C7257EC46E}"/>
    <cellStyle name="40% - Accent2 4 3 2 3" xfId="11771" xr:uid="{DB80C394-C767-449F-AA53-B35F3F582C2C}"/>
    <cellStyle name="40% - Accent2 4 3 3" xfId="5394" xr:uid="{00000000-0005-0000-0000-0000E2040000}"/>
    <cellStyle name="40% - Accent2 4 3 3 2" xfId="13844" xr:uid="{1EEFF9D5-548F-4D69-9DF9-E9506BEFF34F}"/>
    <cellStyle name="40% - Accent2 4 3 4" xfId="9626" xr:uid="{74F8570B-9D89-469B-82EF-F4C8BAA086A7}"/>
    <cellStyle name="40% - Accent2 4 4" xfId="1500" xr:uid="{00000000-0005-0000-0000-0000E3040000}"/>
    <cellStyle name="40% - Accent2 4 4 2" xfId="3730" xr:uid="{00000000-0005-0000-0000-0000E4040000}"/>
    <cellStyle name="40% - Accent2 4 4 2 2" xfId="7952" xr:uid="{00000000-0005-0000-0000-0000E5040000}"/>
    <cellStyle name="40% - Accent2 4 4 2 2 2" xfId="16402" xr:uid="{1D562E1A-EF13-4F1A-9C3F-3A18B735F012}"/>
    <cellStyle name="40% - Accent2 4 4 2 3" xfId="12184" xr:uid="{DD9173D0-ED01-412D-A080-05662546F1D6}"/>
    <cellStyle name="40% - Accent2 4 4 3" xfId="5807" xr:uid="{00000000-0005-0000-0000-0000E6040000}"/>
    <cellStyle name="40% - Accent2 4 4 3 2" xfId="14257" xr:uid="{360E6D31-9EDE-4378-84C9-81594FE10E13}"/>
    <cellStyle name="40% - Accent2 4 4 4" xfId="10039" xr:uid="{E2656570-4F2E-49B8-9C4E-8102B4C9D01E}"/>
    <cellStyle name="40% - Accent2 4 5" xfId="1914" xr:uid="{00000000-0005-0000-0000-0000E7040000}"/>
    <cellStyle name="40% - Accent2 4 5 2" xfId="4143" xr:uid="{00000000-0005-0000-0000-0000E8040000}"/>
    <cellStyle name="40% - Accent2 4 5 2 2" xfId="8365" xr:uid="{00000000-0005-0000-0000-0000E9040000}"/>
    <cellStyle name="40% - Accent2 4 5 2 2 2" xfId="16815" xr:uid="{7D84390D-2400-432C-9750-5A96172A8948}"/>
    <cellStyle name="40% - Accent2 4 5 2 3" xfId="12597" xr:uid="{EC0FC629-316A-44C8-B794-B2335E1D04C9}"/>
    <cellStyle name="40% - Accent2 4 5 3" xfId="6220" xr:uid="{00000000-0005-0000-0000-0000EA040000}"/>
    <cellStyle name="40% - Accent2 4 5 3 2" xfId="14670" xr:uid="{7AB70D7C-CF05-4B86-BAE1-C8832AF70705}"/>
    <cellStyle name="40% - Accent2 4 5 4" xfId="10452" xr:uid="{1EBA4E3A-810C-4D11-80DF-02BEA565C612}"/>
    <cellStyle name="40% - Accent2 4 6" xfId="2327" xr:uid="{00000000-0005-0000-0000-0000EB040000}"/>
    <cellStyle name="40% - Accent2 4 6 2" xfId="6633" xr:uid="{00000000-0005-0000-0000-0000EC040000}"/>
    <cellStyle name="40% - Accent2 4 6 2 2" xfId="15083" xr:uid="{F82A0F1D-2385-4EA6-BCF1-FABAE310625F}"/>
    <cellStyle name="40% - Accent2 4 6 3" xfId="10865" xr:uid="{0063FB23-17CA-46D2-837D-8D664EB22F83}"/>
    <cellStyle name="40% - Accent2 4 7" xfId="4567" xr:uid="{00000000-0005-0000-0000-0000ED040000}"/>
    <cellStyle name="40% - Accent2 4 7 2" xfId="13017" xr:uid="{FBD7EC4B-C95D-49CD-A2DF-3ACA3331EF83}"/>
    <cellStyle name="40% - Accent2 4 8" xfId="8799" xr:uid="{BACCEE9D-16E6-496C-B0DD-10352BB3AEC2}"/>
    <cellStyle name="40% - Accent2 5" xfId="626" xr:uid="{00000000-0005-0000-0000-0000EE040000}"/>
    <cellStyle name="40% - Accent2 5 2" xfId="2897" xr:uid="{00000000-0005-0000-0000-0000EF040000}"/>
    <cellStyle name="40% - Accent2 5 2 2" xfId="7119" xr:uid="{00000000-0005-0000-0000-0000F0040000}"/>
    <cellStyle name="40% - Accent2 5 2 2 2" xfId="15569" xr:uid="{3CBBB7A3-3624-405F-8174-A5F821EF2FD0}"/>
    <cellStyle name="40% - Accent2 5 2 3" xfId="11351" xr:uid="{1FEB4CB3-1C2D-4834-8CE9-9A6BD4E062ED}"/>
    <cellStyle name="40% - Accent2 5 3" xfId="4974" xr:uid="{00000000-0005-0000-0000-0000F1040000}"/>
    <cellStyle name="40% - Accent2 5 3 2" xfId="13424" xr:uid="{586D54AC-49D6-476F-A800-68115D3351EC}"/>
    <cellStyle name="40% - Accent2 5 4" xfId="9206" xr:uid="{4F551722-13F5-4B19-AF79-62837AFA1A32}"/>
    <cellStyle name="40% - Accent2 6" xfId="1079" xr:uid="{00000000-0005-0000-0000-0000F2040000}"/>
    <cellStyle name="40% - Accent2 6 2" xfId="3310" xr:uid="{00000000-0005-0000-0000-0000F3040000}"/>
    <cellStyle name="40% - Accent2 6 2 2" xfId="7532" xr:uid="{00000000-0005-0000-0000-0000F4040000}"/>
    <cellStyle name="40% - Accent2 6 2 2 2" xfId="15982" xr:uid="{09F2085E-F0DE-45E8-92E8-5B47DD4F51FC}"/>
    <cellStyle name="40% - Accent2 6 2 3" xfId="11764" xr:uid="{E04BB756-767B-4A37-8487-AC72F2A4A557}"/>
    <cellStyle name="40% - Accent2 6 3" xfId="5387" xr:uid="{00000000-0005-0000-0000-0000F5040000}"/>
    <cellStyle name="40% - Accent2 6 3 2" xfId="13837" xr:uid="{D447DB41-2ADE-4B9E-9A2C-82A9729F4905}"/>
    <cellStyle name="40% - Accent2 6 4" xfId="9619" xr:uid="{2B215721-D8A1-414D-BC5B-55A055E94BAB}"/>
    <cellStyle name="40% - Accent2 7" xfId="1493" xr:uid="{00000000-0005-0000-0000-0000F6040000}"/>
    <cellStyle name="40% - Accent2 7 2" xfId="3723" xr:uid="{00000000-0005-0000-0000-0000F7040000}"/>
    <cellStyle name="40% - Accent2 7 2 2" xfId="7945" xr:uid="{00000000-0005-0000-0000-0000F8040000}"/>
    <cellStyle name="40% - Accent2 7 2 2 2" xfId="16395" xr:uid="{1B6E413A-E91E-4660-85B7-F51B167754FF}"/>
    <cellStyle name="40% - Accent2 7 2 3" xfId="12177" xr:uid="{7176C448-41DB-4B03-B6D0-6F0ACD308F27}"/>
    <cellStyle name="40% - Accent2 7 3" xfId="5800" xr:uid="{00000000-0005-0000-0000-0000F9040000}"/>
    <cellStyle name="40% - Accent2 7 3 2" xfId="14250" xr:uid="{A16FF785-4413-4FC0-B18D-7B805CDF5726}"/>
    <cellStyle name="40% - Accent2 7 4" xfId="10032" xr:uid="{93AA5E3B-2105-4C88-AC94-020630D2412C}"/>
    <cellStyle name="40% - Accent2 8" xfId="1907" xr:uid="{00000000-0005-0000-0000-0000FA040000}"/>
    <cellStyle name="40% - Accent2 8 2" xfId="4136" xr:uid="{00000000-0005-0000-0000-0000FB040000}"/>
    <cellStyle name="40% - Accent2 8 2 2" xfId="8358" xr:uid="{00000000-0005-0000-0000-0000FC040000}"/>
    <cellStyle name="40% - Accent2 8 2 2 2" xfId="16808" xr:uid="{6B1B1A12-96A2-4AE8-8CAD-A94648C07424}"/>
    <cellStyle name="40% - Accent2 8 2 3" xfId="12590" xr:uid="{776D80A6-1EA5-4EBD-995A-27D20E60266D}"/>
    <cellStyle name="40% - Accent2 8 3" xfId="6213" xr:uid="{00000000-0005-0000-0000-0000FD040000}"/>
    <cellStyle name="40% - Accent2 8 3 2" xfId="14663" xr:uid="{182459A0-2815-485C-9B1F-352F7E555934}"/>
    <cellStyle name="40% - Accent2 8 4" xfId="10445" xr:uid="{A0AE3AE6-EB41-49C2-B4D9-6BEE4560D865}"/>
    <cellStyle name="40% - Accent2 9" xfId="2320" xr:uid="{00000000-0005-0000-0000-0000FE040000}"/>
    <cellStyle name="40% - Accent2 9 2" xfId="6626" xr:uid="{00000000-0005-0000-0000-0000FF040000}"/>
    <cellStyle name="40% - Accent2 9 2 2" xfId="15076" xr:uid="{BBFF0057-C435-4CFD-AA03-804E755CD99A}"/>
    <cellStyle name="40% - Accent2 9 3" xfId="10858" xr:uid="{AB6A1E44-2C93-423A-996C-85C86E48991C}"/>
    <cellStyle name="40% - Accent3" xfId="65" builtinId="39" customBuiltin="1"/>
    <cellStyle name="40% - Accent3 10" xfId="4568" xr:uid="{00000000-0005-0000-0000-000001050000}"/>
    <cellStyle name="40% - Accent3 10 2" xfId="13018" xr:uid="{2FF62BAC-C3CE-4EB4-8F9F-89E45725D4FD}"/>
    <cellStyle name="40% - Accent3 11" xfId="8800" xr:uid="{60192668-7868-4EEA-90A8-D711D7F6A8D8}"/>
    <cellStyle name="40% - Accent3 2" xfId="66" xr:uid="{00000000-0005-0000-0000-000002050000}"/>
    <cellStyle name="40% - Accent3 2 10" xfId="8801" xr:uid="{F21A5C97-7747-4F55-9E7D-850478FCCFB8}"/>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2 2 2" xfId="15580" xr:uid="{D327C509-F818-4BCF-9EF7-4A9E8C318EB8}"/>
    <cellStyle name="40% - Accent3 2 2 2 2 2 3" xfId="11362" xr:uid="{4A082624-556E-4E0C-8307-143E6E623221}"/>
    <cellStyle name="40% - Accent3 2 2 2 2 3" xfId="4985" xr:uid="{00000000-0005-0000-0000-000008050000}"/>
    <cellStyle name="40% - Accent3 2 2 2 2 3 2" xfId="13435" xr:uid="{3447846A-BC13-499D-883A-E1C5E8CB96A0}"/>
    <cellStyle name="40% - Accent3 2 2 2 2 4" xfId="9217" xr:uid="{5458593D-4E68-419B-87B2-17C408F8640A}"/>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2 2 2" xfId="15993" xr:uid="{671FCBE8-F623-482C-90BF-23F569E495B3}"/>
    <cellStyle name="40% - Accent3 2 2 2 3 2 3" xfId="11775" xr:uid="{2D44D034-721E-4444-837E-1198676C5ED1}"/>
    <cellStyle name="40% - Accent3 2 2 2 3 3" xfId="5398" xr:uid="{00000000-0005-0000-0000-00000C050000}"/>
    <cellStyle name="40% - Accent3 2 2 2 3 3 2" xfId="13848" xr:uid="{63345634-9E8F-4307-A79A-6C740603F85F}"/>
    <cellStyle name="40% - Accent3 2 2 2 3 4" xfId="9630" xr:uid="{E1EEED4B-3E4E-435E-9E90-12E1EE5357CE}"/>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2 2 2" xfId="16406" xr:uid="{4C632881-F89A-418E-A201-999FE34A1C6B}"/>
    <cellStyle name="40% - Accent3 2 2 2 4 2 3" xfId="12188" xr:uid="{63109773-B847-4C68-A191-D02CA8875C57}"/>
    <cellStyle name="40% - Accent3 2 2 2 4 3" xfId="5811" xr:uid="{00000000-0005-0000-0000-000010050000}"/>
    <cellStyle name="40% - Accent3 2 2 2 4 3 2" xfId="14261" xr:uid="{DCC370E1-A1D7-436D-8EBD-27D2549ED4FB}"/>
    <cellStyle name="40% - Accent3 2 2 2 4 4" xfId="10043" xr:uid="{32C6CB56-C1BD-4DB5-BFC9-C5E9C1EDF5CF}"/>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2 2 2" xfId="16819" xr:uid="{88D6037A-F89C-4925-91CF-F3900712AFA7}"/>
    <cellStyle name="40% - Accent3 2 2 2 5 2 3" xfId="12601" xr:uid="{96C274BB-C662-4DEF-B5C4-1673713D3046}"/>
    <cellStyle name="40% - Accent3 2 2 2 5 3" xfId="6224" xr:uid="{00000000-0005-0000-0000-000014050000}"/>
    <cellStyle name="40% - Accent3 2 2 2 5 3 2" xfId="14674" xr:uid="{A5011271-C77A-4AD7-A826-600AC323F91B}"/>
    <cellStyle name="40% - Accent3 2 2 2 5 4" xfId="10456" xr:uid="{6114BFE9-9472-4CA9-8F29-C2C488FDE0EF}"/>
    <cellStyle name="40% - Accent3 2 2 2 6" xfId="2331" xr:uid="{00000000-0005-0000-0000-000015050000}"/>
    <cellStyle name="40% - Accent3 2 2 2 6 2" xfId="6637" xr:uid="{00000000-0005-0000-0000-000016050000}"/>
    <cellStyle name="40% - Accent3 2 2 2 6 2 2" xfId="15087" xr:uid="{ED065BF1-8D00-4DCD-9878-75095F9DDD5B}"/>
    <cellStyle name="40% - Accent3 2 2 2 6 3" xfId="10869" xr:uid="{D27FE9FE-FCCA-41F3-B83C-0C384227E8BD}"/>
    <cellStyle name="40% - Accent3 2 2 2 7" xfId="4571" xr:uid="{00000000-0005-0000-0000-000017050000}"/>
    <cellStyle name="40% - Accent3 2 2 2 7 2" xfId="13021" xr:uid="{CCC29477-5381-4C5A-BD1B-EB5336AA5601}"/>
    <cellStyle name="40% - Accent3 2 2 2 8" xfId="8803" xr:uid="{5079B1A5-F120-4304-BD9F-A21701A05C73}"/>
    <cellStyle name="40% - Accent3 2 2 3" xfId="636" xr:uid="{00000000-0005-0000-0000-000018050000}"/>
    <cellStyle name="40% - Accent3 2 2 3 2" xfId="2907" xr:uid="{00000000-0005-0000-0000-000019050000}"/>
    <cellStyle name="40% - Accent3 2 2 3 2 2" xfId="7129" xr:uid="{00000000-0005-0000-0000-00001A050000}"/>
    <cellStyle name="40% - Accent3 2 2 3 2 2 2" xfId="15579" xr:uid="{6BB808AB-41A8-4F18-B59E-1B38B81E0301}"/>
    <cellStyle name="40% - Accent3 2 2 3 2 3" xfId="11361" xr:uid="{87B7D45A-7CC4-41BC-8A86-2AD5594B6E0F}"/>
    <cellStyle name="40% - Accent3 2 2 3 3" xfId="4984" xr:uid="{00000000-0005-0000-0000-00001B050000}"/>
    <cellStyle name="40% - Accent3 2 2 3 3 2" xfId="13434" xr:uid="{78BFB8A1-213E-4720-AC1B-7A22F5125142}"/>
    <cellStyle name="40% - Accent3 2 2 3 4" xfId="9216" xr:uid="{24FC1615-D515-4B74-A5A1-C3666093C1EA}"/>
    <cellStyle name="40% - Accent3 2 2 4" xfId="1089" xr:uid="{00000000-0005-0000-0000-00001C050000}"/>
    <cellStyle name="40% - Accent3 2 2 4 2" xfId="3320" xr:uid="{00000000-0005-0000-0000-00001D050000}"/>
    <cellStyle name="40% - Accent3 2 2 4 2 2" xfId="7542" xr:uid="{00000000-0005-0000-0000-00001E050000}"/>
    <cellStyle name="40% - Accent3 2 2 4 2 2 2" xfId="15992" xr:uid="{7C7B5AB2-E7EC-47B7-BE5E-370D3717769D}"/>
    <cellStyle name="40% - Accent3 2 2 4 2 3" xfId="11774" xr:uid="{8C72AAE8-22E6-4C36-9BF6-E3C27066651D}"/>
    <cellStyle name="40% - Accent3 2 2 4 3" xfId="5397" xr:uid="{00000000-0005-0000-0000-00001F050000}"/>
    <cellStyle name="40% - Accent3 2 2 4 3 2" xfId="13847" xr:uid="{604B4A72-4F7F-4E99-B09E-A3947C18EF5A}"/>
    <cellStyle name="40% - Accent3 2 2 4 4" xfId="9629" xr:uid="{1DB6CE8B-B6EE-43BB-B4DA-879AB7E4625B}"/>
    <cellStyle name="40% - Accent3 2 2 5" xfId="1503" xr:uid="{00000000-0005-0000-0000-000020050000}"/>
    <cellStyle name="40% - Accent3 2 2 5 2" xfId="3733" xr:uid="{00000000-0005-0000-0000-000021050000}"/>
    <cellStyle name="40% - Accent3 2 2 5 2 2" xfId="7955" xr:uid="{00000000-0005-0000-0000-000022050000}"/>
    <cellStyle name="40% - Accent3 2 2 5 2 2 2" xfId="16405" xr:uid="{07ACAB1E-EB90-4B70-A300-25709C4B81D6}"/>
    <cellStyle name="40% - Accent3 2 2 5 2 3" xfId="12187" xr:uid="{A2E93A3C-56E4-4420-A43A-73BB03F2D103}"/>
    <cellStyle name="40% - Accent3 2 2 5 3" xfId="5810" xr:uid="{00000000-0005-0000-0000-000023050000}"/>
    <cellStyle name="40% - Accent3 2 2 5 3 2" xfId="14260" xr:uid="{4A70128C-6EBF-45D1-8EC3-2CE523D373AD}"/>
    <cellStyle name="40% - Accent3 2 2 5 4" xfId="10042" xr:uid="{21D5D256-F81B-4F10-B82B-2CB6537E3BAD}"/>
    <cellStyle name="40% - Accent3 2 2 6" xfId="1917" xr:uid="{00000000-0005-0000-0000-000024050000}"/>
    <cellStyle name="40% - Accent3 2 2 6 2" xfId="4146" xr:uid="{00000000-0005-0000-0000-000025050000}"/>
    <cellStyle name="40% - Accent3 2 2 6 2 2" xfId="8368" xr:uid="{00000000-0005-0000-0000-000026050000}"/>
    <cellStyle name="40% - Accent3 2 2 6 2 2 2" xfId="16818" xr:uid="{9833DC37-9562-4A5E-9E33-E838AFB33808}"/>
    <cellStyle name="40% - Accent3 2 2 6 2 3" xfId="12600" xr:uid="{77542D48-274B-4D54-A74A-A1A627BCBC21}"/>
    <cellStyle name="40% - Accent3 2 2 6 3" xfId="6223" xr:uid="{00000000-0005-0000-0000-000027050000}"/>
    <cellStyle name="40% - Accent3 2 2 6 3 2" xfId="14673" xr:uid="{DF1E6B08-955A-4CE2-B859-3C26590A8CCD}"/>
    <cellStyle name="40% - Accent3 2 2 6 4" xfId="10455" xr:uid="{CF5339A8-62A2-46A5-808F-C3C35D18F2DA}"/>
    <cellStyle name="40% - Accent3 2 2 7" xfId="2330" xr:uid="{00000000-0005-0000-0000-000028050000}"/>
    <cellStyle name="40% - Accent3 2 2 7 2" xfId="6636" xr:uid="{00000000-0005-0000-0000-000029050000}"/>
    <cellStyle name="40% - Accent3 2 2 7 2 2" xfId="15086" xr:uid="{FA6181A9-04A9-4EE6-8CBB-BE153E6A91BF}"/>
    <cellStyle name="40% - Accent3 2 2 7 3" xfId="10868" xr:uid="{69168819-F714-4FB8-86F3-E730F0E73AC1}"/>
    <cellStyle name="40% - Accent3 2 2 8" xfId="4570" xr:uid="{00000000-0005-0000-0000-00002A050000}"/>
    <cellStyle name="40% - Accent3 2 2 8 2" xfId="13020" xr:uid="{8C557836-3D57-4901-B74A-CF744C265514}"/>
    <cellStyle name="40% - Accent3 2 2 9" xfId="8802" xr:uid="{F5771D37-2B49-426D-8FF6-2AAE1889225C}"/>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2 2 2" xfId="15581" xr:uid="{BACD18E7-94C5-4A66-881B-4E2C7B8C8BB3}"/>
    <cellStyle name="40% - Accent3 2 3 2 2 3" xfId="11363" xr:uid="{3237BE26-8C42-4B75-8172-6AB8D63E4436}"/>
    <cellStyle name="40% - Accent3 2 3 2 3" xfId="4986" xr:uid="{00000000-0005-0000-0000-00002F050000}"/>
    <cellStyle name="40% - Accent3 2 3 2 3 2" xfId="13436" xr:uid="{DDBADFD3-4D98-49F2-852C-22DF01129F09}"/>
    <cellStyle name="40% - Accent3 2 3 2 4" xfId="9218" xr:uid="{EFAD01DA-B707-4E3A-B366-B9AC03478301}"/>
    <cellStyle name="40% - Accent3 2 3 3" xfId="1091" xr:uid="{00000000-0005-0000-0000-000030050000}"/>
    <cellStyle name="40% - Accent3 2 3 3 2" xfId="3322" xr:uid="{00000000-0005-0000-0000-000031050000}"/>
    <cellStyle name="40% - Accent3 2 3 3 2 2" xfId="7544" xr:uid="{00000000-0005-0000-0000-000032050000}"/>
    <cellStyle name="40% - Accent3 2 3 3 2 2 2" xfId="15994" xr:uid="{0E0F592F-FE0A-48F7-8995-BBE108C3942E}"/>
    <cellStyle name="40% - Accent3 2 3 3 2 3" xfId="11776" xr:uid="{4B9E820A-A89C-47B2-9173-3C15DA674B49}"/>
    <cellStyle name="40% - Accent3 2 3 3 3" xfId="5399" xr:uid="{00000000-0005-0000-0000-000033050000}"/>
    <cellStyle name="40% - Accent3 2 3 3 3 2" xfId="13849" xr:uid="{F9AEAEA7-4C4E-4474-AFD2-9D86C3D6E2E9}"/>
    <cellStyle name="40% - Accent3 2 3 3 4" xfId="9631" xr:uid="{FFAAB402-014B-42B1-9E2F-59114A84031E}"/>
    <cellStyle name="40% - Accent3 2 3 4" xfId="1505" xr:uid="{00000000-0005-0000-0000-000034050000}"/>
    <cellStyle name="40% - Accent3 2 3 4 2" xfId="3735" xr:uid="{00000000-0005-0000-0000-000035050000}"/>
    <cellStyle name="40% - Accent3 2 3 4 2 2" xfId="7957" xr:uid="{00000000-0005-0000-0000-000036050000}"/>
    <cellStyle name="40% - Accent3 2 3 4 2 2 2" xfId="16407" xr:uid="{41094754-F93D-4B6A-8EBE-88D5FB2CC9B2}"/>
    <cellStyle name="40% - Accent3 2 3 4 2 3" xfId="12189" xr:uid="{5447274E-80D9-434E-A8F7-D48FFECBC27D}"/>
    <cellStyle name="40% - Accent3 2 3 4 3" xfId="5812" xr:uid="{00000000-0005-0000-0000-000037050000}"/>
    <cellStyle name="40% - Accent3 2 3 4 3 2" xfId="14262" xr:uid="{A9B64BAA-6656-4B04-8D03-588952671C16}"/>
    <cellStyle name="40% - Accent3 2 3 4 4" xfId="10044" xr:uid="{FF665832-4EAE-4C2D-BAB5-15F4A7C5015B}"/>
    <cellStyle name="40% - Accent3 2 3 5" xfId="1919" xr:uid="{00000000-0005-0000-0000-000038050000}"/>
    <cellStyle name="40% - Accent3 2 3 5 2" xfId="4148" xr:uid="{00000000-0005-0000-0000-000039050000}"/>
    <cellStyle name="40% - Accent3 2 3 5 2 2" xfId="8370" xr:uid="{00000000-0005-0000-0000-00003A050000}"/>
    <cellStyle name="40% - Accent3 2 3 5 2 2 2" xfId="16820" xr:uid="{B60F04D0-2006-44B5-9D9A-DE67DB727300}"/>
    <cellStyle name="40% - Accent3 2 3 5 2 3" xfId="12602" xr:uid="{250A0960-FA4A-4C5B-89DE-068D979D36ED}"/>
    <cellStyle name="40% - Accent3 2 3 5 3" xfId="6225" xr:uid="{00000000-0005-0000-0000-00003B050000}"/>
    <cellStyle name="40% - Accent3 2 3 5 3 2" xfId="14675" xr:uid="{BBA2AF9A-DC66-4987-A47E-2B89E6BEED1E}"/>
    <cellStyle name="40% - Accent3 2 3 5 4" xfId="10457" xr:uid="{FCABB2CC-2584-4696-9A18-34231B535993}"/>
    <cellStyle name="40% - Accent3 2 3 6" xfId="2332" xr:uid="{00000000-0005-0000-0000-00003C050000}"/>
    <cellStyle name="40% - Accent3 2 3 6 2" xfId="6638" xr:uid="{00000000-0005-0000-0000-00003D050000}"/>
    <cellStyle name="40% - Accent3 2 3 6 2 2" xfId="15088" xr:uid="{86DA58DB-547A-4E8B-948E-E3ED846C82DF}"/>
    <cellStyle name="40% - Accent3 2 3 6 3" xfId="10870" xr:uid="{D72B63AD-3D50-41A6-ACBD-E2C5283E78D6}"/>
    <cellStyle name="40% - Accent3 2 3 7" xfId="4572" xr:uid="{00000000-0005-0000-0000-00003E050000}"/>
    <cellStyle name="40% - Accent3 2 3 7 2" xfId="13022" xr:uid="{6940D448-0D88-4F4B-8DAB-D79C62F413AA}"/>
    <cellStyle name="40% - Accent3 2 3 8" xfId="8804" xr:uid="{9EBF29CD-D06A-4163-9493-AAFB666136A2}"/>
    <cellStyle name="40% - Accent3 2 4" xfId="635" xr:uid="{00000000-0005-0000-0000-00003F050000}"/>
    <cellStyle name="40% - Accent3 2 4 2" xfId="2906" xr:uid="{00000000-0005-0000-0000-000040050000}"/>
    <cellStyle name="40% - Accent3 2 4 2 2" xfId="7128" xr:uid="{00000000-0005-0000-0000-000041050000}"/>
    <cellStyle name="40% - Accent3 2 4 2 2 2" xfId="15578" xr:uid="{10BF35F8-5BE0-4556-99D4-A23ACE4AB15D}"/>
    <cellStyle name="40% - Accent3 2 4 2 3" xfId="11360" xr:uid="{1B0FDE9E-B4BB-4C4E-A238-25DB56834CE3}"/>
    <cellStyle name="40% - Accent3 2 4 3" xfId="4983" xr:uid="{00000000-0005-0000-0000-000042050000}"/>
    <cellStyle name="40% - Accent3 2 4 3 2" xfId="13433" xr:uid="{5E70A113-0F62-47FF-BBAC-0763C9F7DF7E}"/>
    <cellStyle name="40% - Accent3 2 4 4" xfId="9215" xr:uid="{BE653A08-079D-45B2-98CE-71C62BE90AD5}"/>
    <cellStyle name="40% - Accent3 2 5" xfId="1088" xr:uid="{00000000-0005-0000-0000-000043050000}"/>
    <cellStyle name="40% - Accent3 2 5 2" xfId="3319" xr:uid="{00000000-0005-0000-0000-000044050000}"/>
    <cellStyle name="40% - Accent3 2 5 2 2" xfId="7541" xr:uid="{00000000-0005-0000-0000-000045050000}"/>
    <cellStyle name="40% - Accent3 2 5 2 2 2" xfId="15991" xr:uid="{FB42D344-D5FC-42F8-A1AF-5216655652B2}"/>
    <cellStyle name="40% - Accent3 2 5 2 3" xfId="11773" xr:uid="{884744B0-8DA6-4488-8B1E-DC24070FF8CE}"/>
    <cellStyle name="40% - Accent3 2 5 3" xfId="5396" xr:uid="{00000000-0005-0000-0000-000046050000}"/>
    <cellStyle name="40% - Accent3 2 5 3 2" xfId="13846" xr:uid="{62F53BAE-086A-4E51-B653-FCA29E86C4D6}"/>
    <cellStyle name="40% - Accent3 2 5 4" xfId="9628" xr:uid="{392DF517-D00D-4DF0-ACBC-386EE7F2F4DC}"/>
    <cellStyle name="40% - Accent3 2 6" xfId="1502" xr:uid="{00000000-0005-0000-0000-000047050000}"/>
    <cellStyle name="40% - Accent3 2 6 2" xfId="3732" xr:uid="{00000000-0005-0000-0000-000048050000}"/>
    <cellStyle name="40% - Accent3 2 6 2 2" xfId="7954" xr:uid="{00000000-0005-0000-0000-000049050000}"/>
    <cellStyle name="40% - Accent3 2 6 2 2 2" xfId="16404" xr:uid="{3D66263C-064E-4EE8-AAB7-53F8E6A1B7D3}"/>
    <cellStyle name="40% - Accent3 2 6 2 3" xfId="12186" xr:uid="{EDA1776C-CC43-43D1-B49B-BAD13F6140AC}"/>
    <cellStyle name="40% - Accent3 2 6 3" xfId="5809" xr:uid="{00000000-0005-0000-0000-00004A050000}"/>
    <cellStyle name="40% - Accent3 2 6 3 2" xfId="14259" xr:uid="{EE1783DB-FF6B-4A93-ADD8-886AADCB499E}"/>
    <cellStyle name="40% - Accent3 2 6 4" xfId="10041" xr:uid="{A38ED2DB-5CCD-4547-9607-488283B46D23}"/>
    <cellStyle name="40% - Accent3 2 7" xfId="1916" xr:uid="{00000000-0005-0000-0000-00004B050000}"/>
    <cellStyle name="40% - Accent3 2 7 2" xfId="4145" xr:uid="{00000000-0005-0000-0000-00004C050000}"/>
    <cellStyle name="40% - Accent3 2 7 2 2" xfId="8367" xr:uid="{00000000-0005-0000-0000-00004D050000}"/>
    <cellStyle name="40% - Accent3 2 7 2 2 2" xfId="16817" xr:uid="{610F5A99-07F5-4AAD-8043-9C13B48F69E2}"/>
    <cellStyle name="40% - Accent3 2 7 2 3" xfId="12599" xr:uid="{FB461929-EE2A-482D-8C33-A1BD2A882390}"/>
    <cellStyle name="40% - Accent3 2 7 3" xfId="6222" xr:uid="{00000000-0005-0000-0000-00004E050000}"/>
    <cellStyle name="40% - Accent3 2 7 3 2" xfId="14672" xr:uid="{DCCA087E-2B45-47BE-9DD0-CC75339547E4}"/>
    <cellStyle name="40% - Accent3 2 7 4" xfId="10454" xr:uid="{BA818938-8390-4C8D-AE8D-45D454575C9C}"/>
    <cellStyle name="40% - Accent3 2 8" xfId="2329" xr:uid="{00000000-0005-0000-0000-00004F050000}"/>
    <cellStyle name="40% - Accent3 2 8 2" xfId="6635" xr:uid="{00000000-0005-0000-0000-000050050000}"/>
    <cellStyle name="40% - Accent3 2 8 2 2" xfId="15085" xr:uid="{167B8FC7-5CEC-4645-B0B5-BB1E40B84DAD}"/>
    <cellStyle name="40% - Accent3 2 8 3" xfId="10867" xr:uid="{1727EAE7-6DF8-4212-8557-2A036C7CC5CD}"/>
    <cellStyle name="40% - Accent3 2 9" xfId="4569" xr:uid="{00000000-0005-0000-0000-000051050000}"/>
    <cellStyle name="40% - Accent3 2 9 2" xfId="13019" xr:uid="{7B28D86E-3FA4-46F2-88C3-DA02156BD155}"/>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2 2 2" xfId="15583" xr:uid="{F8C2B477-3EAF-4DA1-B141-C50B5DD7C99F}"/>
    <cellStyle name="40% - Accent3 3 2 2 2 3" xfId="11365" xr:uid="{AE46FE1F-A890-4640-986D-9951B4A904C6}"/>
    <cellStyle name="40% - Accent3 3 2 2 3" xfId="4988" xr:uid="{00000000-0005-0000-0000-000057050000}"/>
    <cellStyle name="40% - Accent3 3 2 2 3 2" xfId="13438" xr:uid="{52A906EB-A422-448E-AE48-6F77C4D942F9}"/>
    <cellStyle name="40% - Accent3 3 2 2 4" xfId="9220" xr:uid="{A0743CA5-72DC-4B81-A6F3-AC4F0EA76EE2}"/>
    <cellStyle name="40% - Accent3 3 2 3" xfId="1093" xr:uid="{00000000-0005-0000-0000-000058050000}"/>
    <cellStyle name="40% - Accent3 3 2 3 2" xfId="3324" xr:uid="{00000000-0005-0000-0000-000059050000}"/>
    <cellStyle name="40% - Accent3 3 2 3 2 2" xfId="7546" xr:uid="{00000000-0005-0000-0000-00005A050000}"/>
    <cellStyle name="40% - Accent3 3 2 3 2 2 2" xfId="15996" xr:uid="{3EEA2972-1E2D-4584-8C16-5F80F465FBC5}"/>
    <cellStyle name="40% - Accent3 3 2 3 2 3" xfId="11778" xr:uid="{9C690294-DB82-40CF-8031-232A4181DD37}"/>
    <cellStyle name="40% - Accent3 3 2 3 3" xfId="5401" xr:uid="{00000000-0005-0000-0000-00005B050000}"/>
    <cellStyle name="40% - Accent3 3 2 3 3 2" xfId="13851" xr:uid="{0EC97BA4-9922-4295-87C1-E0C837708F05}"/>
    <cellStyle name="40% - Accent3 3 2 3 4" xfId="9633" xr:uid="{25BE4EFB-A904-422E-ACA2-B3B10392C611}"/>
    <cellStyle name="40% - Accent3 3 2 4" xfId="1507" xr:uid="{00000000-0005-0000-0000-00005C050000}"/>
    <cellStyle name="40% - Accent3 3 2 4 2" xfId="3737" xr:uid="{00000000-0005-0000-0000-00005D050000}"/>
    <cellStyle name="40% - Accent3 3 2 4 2 2" xfId="7959" xr:uid="{00000000-0005-0000-0000-00005E050000}"/>
    <cellStyle name="40% - Accent3 3 2 4 2 2 2" xfId="16409" xr:uid="{F6BC80F5-396A-42F0-BA46-5AAEABB73989}"/>
    <cellStyle name="40% - Accent3 3 2 4 2 3" xfId="12191" xr:uid="{3AF764ED-A67C-46FC-9E2D-0801CD01488E}"/>
    <cellStyle name="40% - Accent3 3 2 4 3" xfId="5814" xr:uid="{00000000-0005-0000-0000-00005F050000}"/>
    <cellStyle name="40% - Accent3 3 2 4 3 2" xfId="14264" xr:uid="{CD30CAB3-1CC7-4807-93DC-A2BA85F72EC0}"/>
    <cellStyle name="40% - Accent3 3 2 4 4" xfId="10046" xr:uid="{D908F694-8F5D-4E3C-A751-56D912CCAFD6}"/>
    <cellStyle name="40% - Accent3 3 2 5" xfId="1921" xr:uid="{00000000-0005-0000-0000-000060050000}"/>
    <cellStyle name="40% - Accent3 3 2 5 2" xfId="4150" xr:uid="{00000000-0005-0000-0000-000061050000}"/>
    <cellStyle name="40% - Accent3 3 2 5 2 2" xfId="8372" xr:uid="{00000000-0005-0000-0000-000062050000}"/>
    <cellStyle name="40% - Accent3 3 2 5 2 2 2" xfId="16822" xr:uid="{B3844465-F5DE-4791-829E-D666E8E1DB0B}"/>
    <cellStyle name="40% - Accent3 3 2 5 2 3" xfId="12604" xr:uid="{09E07696-00AD-4CDF-9BE3-B2BAB32082E9}"/>
    <cellStyle name="40% - Accent3 3 2 5 3" xfId="6227" xr:uid="{00000000-0005-0000-0000-000063050000}"/>
    <cellStyle name="40% - Accent3 3 2 5 3 2" xfId="14677" xr:uid="{44928D90-7663-4010-AA40-264DBB712BD9}"/>
    <cellStyle name="40% - Accent3 3 2 5 4" xfId="10459" xr:uid="{A9A50CD1-7454-40CB-AF65-8302F9F3C853}"/>
    <cellStyle name="40% - Accent3 3 2 6" xfId="2334" xr:uid="{00000000-0005-0000-0000-000064050000}"/>
    <cellStyle name="40% - Accent3 3 2 6 2" xfId="6640" xr:uid="{00000000-0005-0000-0000-000065050000}"/>
    <cellStyle name="40% - Accent3 3 2 6 2 2" xfId="15090" xr:uid="{1B09C149-0496-49BE-B0C2-662816E445E5}"/>
    <cellStyle name="40% - Accent3 3 2 6 3" xfId="10872" xr:uid="{01F763C6-44E7-44DF-B5A5-098A6AA6A329}"/>
    <cellStyle name="40% - Accent3 3 2 7" xfId="4574" xr:uid="{00000000-0005-0000-0000-000066050000}"/>
    <cellStyle name="40% - Accent3 3 2 7 2" xfId="13024" xr:uid="{C1324FA1-EB3D-43F5-AFB2-98F7C20CE6E9}"/>
    <cellStyle name="40% - Accent3 3 2 8" xfId="8806" xr:uid="{72C0649F-41F5-442A-8F6E-34535EDB6302}"/>
    <cellStyle name="40% - Accent3 3 3" xfId="639" xr:uid="{00000000-0005-0000-0000-000067050000}"/>
    <cellStyle name="40% - Accent3 3 3 2" xfId="2910" xr:uid="{00000000-0005-0000-0000-000068050000}"/>
    <cellStyle name="40% - Accent3 3 3 2 2" xfId="7132" xr:uid="{00000000-0005-0000-0000-000069050000}"/>
    <cellStyle name="40% - Accent3 3 3 2 2 2" xfId="15582" xr:uid="{93A6019D-A4D1-4971-8EF3-D2AF75E7BB56}"/>
    <cellStyle name="40% - Accent3 3 3 2 3" xfId="11364" xr:uid="{75D1F51D-0A50-4ACD-BE84-D36ED29FC163}"/>
    <cellStyle name="40% - Accent3 3 3 3" xfId="4987" xr:uid="{00000000-0005-0000-0000-00006A050000}"/>
    <cellStyle name="40% - Accent3 3 3 3 2" xfId="13437" xr:uid="{8A4E9A78-D4DC-4DCB-8F97-F98E49623DA5}"/>
    <cellStyle name="40% - Accent3 3 3 4" xfId="9219" xr:uid="{3F26E8DD-80C3-494A-8706-12ACBBAECCE3}"/>
    <cellStyle name="40% - Accent3 3 4" xfId="1092" xr:uid="{00000000-0005-0000-0000-00006B050000}"/>
    <cellStyle name="40% - Accent3 3 4 2" xfId="3323" xr:uid="{00000000-0005-0000-0000-00006C050000}"/>
    <cellStyle name="40% - Accent3 3 4 2 2" xfId="7545" xr:uid="{00000000-0005-0000-0000-00006D050000}"/>
    <cellStyle name="40% - Accent3 3 4 2 2 2" xfId="15995" xr:uid="{F29019D5-2F4B-4AB3-B195-A3CE03C142E4}"/>
    <cellStyle name="40% - Accent3 3 4 2 3" xfId="11777" xr:uid="{FAA0BC07-5FC3-4F9E-8CDE-F899A0A57AD1}"/>
    <cellStyle name="40% - Accent3 3 4 3" xfId="5400" xr:uid="{00000000-0005-0000-0000-00006E050000}"/>
    <cellStyle name="40% - Accent3 3 4 3 2" xfId="13850" xr:uid="{315D7ABB-CBA5-4D9B-AA24-3EB9D8E3B6F7}"/>
    <cellStyle name="40% - Accent3 3 4 4" xfId="9632" xr:uid="{48F69990-7495-48D0-A2A2-82E60081016D}"/>
    <cellStyle name="40% - Accent3 3 5" xfId="1506" xr:uid="{00000000-0005-0000-0000-00006F050000}"/>
    <cellStyle name="40% - Accent3 3 5 2" xfId="3736" xr:uid="{00000000-0005-0000-0000-000070050000}"/>
    <cellStyle name="40% - Accent3 3 5 2 2" xfId="7958" xr:uid="{00000000-0005-0000-0000-000071050000}"/>
    <cellStyle name="40% - Accent3 3 5 2 2 2" xfId="16408" xr:uid="{1EE2AEA6-80C4-4FA7-AD0D-189A92AA847E}"/>
    <cellStyle name="40% - Accent3 3 5 2 3" xfId="12190" xr:uid="{3EC33165-5555-41F3-8E2A-FFDF2F238723}"/>
    <cellStyle name="40% - Accent3 3 5 3" xfId="5813" xr:uid="{00000000-0005-0000-0000-000072050000}"/>
    <cellStyle name="40% - Accent3 3 5 3 2" xfId="14263" xr:uid="{E8673F76-BBAF-4EB8-B53E-0E61FC781060}"/>
    <cellStyle name="40% - Accent3 3 5 4" xfId="10045" xr:uid="{B0C97D2F-142C-48DF-996A-F27246EBBBD8}"/>
    <cellStyle name="40% - Accent3 3 6" xfId="1920" xr:uid="{00000000-0005-0000-0000-000073050000}"/>
    <cellStyle name="40% - Accent3 3 6 2" xfId="4149" xr:uid="{00000000-0005-0000-0000-000074050000}"/>
    <cellStyle name="40% - Accent3 3 6 2 2" xfId="8371" xr:uid="{00000000-0005-0000-0000-000075050000}"/>
    <cellStyle name="40% - Accent3 3 6 2 2 2" xfId="16821" xr:uid="{7F58D027-D5BA-4BDF-ABED-D7BABE9CCAEC}"/>
    <cellStyle name="40% - Accent3 3 6 2 3" xfId="12603" xr:uid="{A4671CF4-C0DA-420D-920B-69626823C967}"/>
    <cellStyle name="40% - Accent3 3 6 3" xfId="6226" xr:uid="{00000000-0005-0000-0000-000076050000}"/>
    <cellStyle name="40% - Accent3 3 6 3 2" xfId="14676" xr:uid="{6260B007-BF70-44C7-A9CC-30AADB720ED4}"/>
    <cellStyle name="40% - Accent3 3 6 4" xfId="10458" xr:uid="{4D39B8D2-3B09-4385-91F6-1D4675A84629}"/>
    <cellStyle name="40% - Accent3 3 7" xfId="2333" xr:uid="{00000000-0005-0000-0000-000077050000}"/>
    <cellStyle name="40% - Accent3 3 7 2" xfId="6639" xr:uid="{00000000-0005-0000-0000-000078050000}"/>
    <cellStyle name="40% - Accent3 3 7 2 2" xfId="15089" xr:uid="{9CFB6099-BF02-4913-9B14-65BE4403EEF3}"/>
    <cellStyle name="40% - Accent3 3 7 3" xfId="10871" xr:uid="{17705A31-769F-49C8-BFFA-2694E901E0D7}"/>
    <cellStyle name="40% - Accent3 3 8" xfId="4573" xr:uid="{00000000-0005-0000-0000-000079050000}"/>
    <cellStyle name="40% - Accent3 3 8 2" xfId="13023" xr:uid="{085368DE-DD3F-4F73-BAA2-AF5D5D972F17}"/>
    <cellStyle name="40% - Accent3 3 9" xfId="8805" xr:uid="{72B77BC0-8D8C-4354-92CE-068901C1B18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2 2 2" xfId="15584" xr:uid="{F9A72E5E-3452-477E-99F7-5E0196B1EF10}"/>
    <cellStyle name="40% - Accent3 4 2 2 3" xfId="11366" xr:uid="{0D2B949E-C39F-4E39-BB4D-6A77AEC302B5}"/>
    <cellStyle name="40% - Accent3 4 2 3" xfId="4989" xr:uid="{00000000-0005-0000-0000-00007E050000}"/>
    <cellStyle name="40% - Accent3 4 2 3 2" xfId="13439" xr:uid="{339C11CD-6848-4EA0-98E2-147F903BC72C}"/>
    <cellStyle name="40% - Accent3 4 2 4" xfId="9221" xr:uid="{4579871E-ACE1-481F-960F-ECE0FB49F945}"/>
    <cellStyle name="40% - Accent3 4 3" xfId="1094" xr:uid="{00000000-0005-0000-0000-00007F050000}"/>
    <cellStyle name="40% - Accent3 4 3 2" xfId="3325" xr:uid="{00000000-0005-0000-0000-000080050000}"/>
    <cellStyle name="40% - Accent3 4 3 2 2" xfId="7547" xr:uid="{00000000-0005-0000-0000-000081050000}"/>
    <cellStyle name="40% - Accent3 4 3 2 2 2" xfId="15997" xr:uid="{9ACD78D2-CB09-4066-AD41-B963C215348B}"/>
    <cellStyle name="40% - Accent3 4 3 2 3" xfId="11779" xr:uid="{D961A93D-B526-41E8-989D-11A2F25E61AE}"/>
    <cellStyle name="40% - Accent3 4 3 3" xfId="5402" xr:uid="{00000000-0005-0000-0000-000082050000}"/>
    <cellStyle name="40% - Accent3 4 3 3 2" xfId="13852" xr:uid="{C5AFB2D3-42C0-4162-84E5-FF6F06A3DBFA}"/>
    <cellStyle name="40% - Accent3 4 3 4" xfId="9634" xr:uid="{324E0D9B-CD57-41CC-80B2-F5AC85F631B8}"/>
    <cellStyle name="40% - Accent3 4 4" xfId="1508" xr:uid="{00000000-0005-0000-0000-000083050000}"/>
    <cellStyle name="40% - Accent3 4 4 2" xfId="3738" xr:uid="{00000000-0005-0000-0000-000084050000}"/>
    <cellStyle name="40% - Accent3 4 4 2 2" xfId="7960" xr:uid="{00000000-0005-0000-0000-000085050000}"/>
    <cellStyle name="40% - Accent3 4 4 2 2 2" xfId="16410" xr:uid="{B5BE113B-3B58-4D47-ADDA-724B54AB88BE}"/>
    <cellStyle name="40% - Accent3 4 4 2 3" xfId="12192" xr:uid="{4994CDC5-AB2C-40D0-9E7A-15532E51011F}"/>
    <cellStyle name="40% - Accent3 4 4 3" xfId="5815" xr:uid="{00000000-0005-0000-0000-000086050000}"/>
    <cellStyle name="40% - Accent3 4 4 3 2" xfId="14265" xr:uid="{EDC8ABBC-41DB-47BF-B1ED-FFB054112F03}"/>
    <cellStyle name="40% - Accent3 4 4 4" xfId="10047" xr:uid="{F34EC707-AC55-4C68-9AE7-DCAFBDAA1584}"/>
    <cellStyle name="40% - Accent3 4 5" xfId="1922" xr:uid="{00000000-0005-0000-0000-000087050000}"/>
    <cellStyle name="40% - Accent3 4 5 2" xfId="4151" xr:uid="{00000000-0005-0000-0000-000088050000}"/>
    <cellStyle name="40% - Accent3 4 5 2 2" xfId="8373" xr:uid="{00000000-0005-0000-0000-000089050000}"/>
    <cellStyle name="40% - Accent3 4 5 2 2 2" xfId="16823" xr:uid="{3236B4BA-350A-4B32-AA3F-50394A4AC368}"/>
    <cellStyle name="40% - Accent3 4 5 2 3" xfId="12605" xr:uid="{1306C1C5-FA37-43E2-B71B-1BD2CB8D27DB}"/>
    <cellStyle name="40% - Accent3 4 5 3" xfId="6228" xr:uid="{00000000-0005-0000-0000-00008A050000}"/>
    <cellStyle name="40% - Accent3 4 5 3 2" xfId="14678" xr:uid="{F34AC6B2-0189-4DD7-8389-1237B79507AE}"/>
    <cellStyle name="40% - Accent3 4 5 4" xfId="10460" xr:uid="{92C9B6E2-B213-4765-A220-2160ABA8A800}"/>
    <cellStyle name="40% - Accent3 4 6" xfId="2335" xr:uid="{00000000-0005-0000-0000-00008B050000}"/>
    <cellStyle name="40% - Accent3 4 6 2" xfId="6641" xr:uid="{00000000-0005-0000-0000-00008C050000}"/>
    <cellStyle name="40% - Accent3 4 6 2 2" xfId="15091" xr:uid="{A6896CD1-26BB-4CF4-B38F-F6032A8D0351}"/>
    <cellStyle name="40% - Accent3 4 6 3" xfId="10873" xr:uid="{E65A260D-BB45-4209-93A4-F416FDB8E384}"/>
    <cellStyle name="40% - Accent3 4 7" xfId="4575" xr:uid="{00000000-0005-0000-0000-00008D050000}"/>
    <cellStyle name="40% - Accent3 4 7 2" xfId="13025" xr:uid="{4A2C31DF-D489-4DC5-8CCC-1C87CB83D8BC}"/>
    <cellStyle name="40% - Accent3 4 8" xfId="8807" xr:uid="{03C17311-B524-4D93-B155-3200548FA88E}"/>
    <cellStyle name="40% - Accent3 5" xfId="634" xr:uid="{00000000-0005-0000-0000-00008E050000}"/>
    <cellStyle name="40% - Accent3 5 2" xfId="2905" xr:uid="{00000000-0005-0000-0000-00008F050000}"/>
    <cellStyle name="40% - Accent3 5 2 2" xfId="7127" xr:uid="{00000000-0005-0000-0000-000090050000}"/>
    <cellStyle name="40% - Accent3 5 2 2 2" xfId="15577" xr:uid="{B976BE70-4EF4-4FF7-B2C0-1AE7BA9D9CBE}"/>
    <cellStyle name="40% - Accent3 5 2 3" xfId="11359" xr:uid="{DDE323DD-4FE8-447D-B726-F3A3C8F41C24}"/>
    <cellStyle name="40% - Accent3 5 3" xfId="4982" xr:uid="{00000000-0005-0000-0000-000091050000}"/>
    <cellStyle name="40% - Accent3 5 3 2" xfId="13432" xr:uid="{782D345F-15B9-43D8-B340-B8402183DDEC}"/>
    <cellStyle name="40% - Accent3 5 4" xfId="9214" xr:uid="{DB2173AF-4ACE-405C-B0A9-57954519BD24}"/>
    <cellStyle name="40% - Accent3 6" xfId="1087" xr:uid="{00000000-0005-0000-0000-000092050000}"/>
    <cellStyle name="40% - Accent3 6 2" xfId="3318" xr:uid="{00000000-0005-0000-0000-000093050000}"/>
    <cellStyle name="40% - Accent3 6 2 2" xfId="7540" xr:uid="{00000000-0005-0000-0000-000094050000}"/>
    <cellStyle name="40% - Accent3 6 2 2 2" xfId="15990" xr:uid="{66A42FF5-3C7C-4BF7-B4ED-C0727F045996}"/>
    <cellStyle name="40% - Accent3 6 2 3" xfId="11772" xr:uid="{B99C303D-09FE-48F0-8661-DCC717B903C9}"/>
    <cellStyle name="40% - Accent3 6 3" xfId="5395" xr:uid="{00000000-0005-0000-0000-000095050000}"/>
    <cellStyle name="40% - Accent3 6 3 2" xfId="13845" xr:uid="{81919AB7-4DBC-49E3-A214-3C640E2B5B86}"/>
    <cellStyle name="40% - Accent3 6 4" xfId="9627" xr:uid="{DFFB8E64-82BC-4D17-BC56-806D8864E607}"/>
    <cellStyle name="40% - Accent3 7" xfId="1501" xr:uid="{00000000-0005-0000-0000-000096050000}"/>
    <cellStyle name="40% - Accent3 7 2" xfId="3731" xr:uid="{00000000-0005-0000-0000-000097050000}"/>
    <cellStyle name="40% - Accent3 7 2 2" xfId="7953" xr:uid="{00000000-0005-0000-0000-000098050000}"/>
    <cellStyle name="40% - Accent3 7 2 2 2" xfId="16403" xr:uid="{5C54F14E-CBE9-4922-A684-8B9A238355D0}"/>
    <cellStyle name="40% - Accent3 7 2 3" xfId="12185" xr:uid="{F527876C-21B6-4FF3-A11B-9DE45BDA5A6E}"/>
    <cellStyle name="40% - Accent3 7 3" xfId="5808" xr:uid="{00000000-0005-0000-0000-000099050000}"/>
    <cellStyle name="40% - Accent3 7 3 2" xfId="14258" xr:uid="{A563C226-AC86-4536-B29B-173791672AC3}"/>
    <cellStyle name="40% - Accent3 7 4" xfId="10040" xr:uid="{D8D6371B-7FE6-4925-AC1E-D6925CDF3C79}"/>
    <cellStyle name="40% - Accent3 8" xfId="1915" xr:uid="{00000000-0005-0000-0000-00009A050000}"/>
    <cellStyle name="40% - Accent3 8 2" xfId="4144" xr:uid="{00000000-0005-0000-0000-00009B050000}"/>
    <cellStyle name="40% - Accent3 8 2 2" xfId="8366" xr:uid="{00000000-0005-0000-0000-00009C050000}"/>
    <cellStyle name="40% - Accent3 8 2 2 2" xfId="16816" xr:uid="{293DC212-A3E0-42CB-8578-2FC3A9F12C68}"/>
    <cellStyle name="40% - Accent3 8 2 3" xfId="12598" xr:uid="{FE075F76-0EB3-4902-9347-FEADEFA17A29}"/>
    <cellStyle name="40% - Accent3 8 3" xfId="6221" xr:uid="{00000000-0005-0000-0000-00009D050000}"/>
    <cellStyle name="40% - Accent3 8 3 2" xfId="14671" xr:uid="{2EBD1F5F-9AD0-419C-BECB-788562159E33}"/>
    <cellStyle name="40% - Accent3 8 4" xfId="10453" xr:uid="{D87DDF7D-FA91-4758-BB3D-00882A8CF0A4}"/>
    <cellStyle name="40% - Accent3 9" xfId="2328" xr:uid="{00000000-0005-0000-0000-00009E050000}"/>
    <cellStyle name="40% - Accent3 9 2" xfId="6634" xr:uid="{00000000-0005-0000-0000-00009F050000}"/>
    <cellStyle name="40% - Accent3 9 2 2" xfId="15084" xr:uid="{8B1131CF-E22B-46D6-8345-6ACE80F7DC48}"/>
    <cellStyle name="40% - Accent3 9 3" xfId="10866" xr:uid="{49338252-EE5C-4DD7-9240-9ED0E8E6004E}"/>
    <cellStyle name="40% - Accent4" xfId="73" builtinId="43" customBuiltin="1"/>
    <cellStyle name="40% - Accent4 10" xfId="4576" xr:uid="{00000000-0005-0000-0000-0000A1050000}"/>
    <cellStyle name="40% - Accent4 10 2" xfId="13026" xr:uid="{301FF809-6EBF-4B0A-B8C4-BB1CE4035D9C}"/>
    <cellStyle name="40% - Accent4 11" xfId="8808" xr:uid="{DF2EF102-EE73-4B3E-B700-68F0833A9BB1}"/>
    <cellStyle name="40% - Accent4 2" xfId="74" xr:uid="{00000000-0005-0000-0000-0000A2050000}"/>
    <cellStyle name="40% - Accent4 2 10" xfId="8809" xr:uid="{0D71D6CB-2485-4866-8A44-429C4320E80C}"/>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2 2 2" xfId="15588" xr:uid="{8AFCC011-22E0-4ACB-AFFA-8D5FDF15CA8A}"/>
    <cellStyle name="40% - Accent4 2 2 2 2 2 3" xfId="11370" xr:uid="{B869CD96-0D87-42E9-A300-365A78F515E0}"/>
    <cellStyle name="40% - Accent4 2 2 2 2 3" xfId="4993" xr:uid="{00000000-0005-0000-0000-0000A8050000}"/>
    <cellStyle name="40% - Accent4 2 2 2 2 3 2" xfId="13443" xr:uid="{852B44A5-6EE0-4325-8440-DCA8B1BA5F75}"/>
    <cellStyle name="40% - Accent4 2 2 2 2 4" xfId="9225" xr:uid="{C9A0C43F-6637-4B24-BFA8-71F2B92EEFF5}"/>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2 2 2" xfId="16001" xr:uid="{A9353FB8-E4F0-4005-AC1D-9093F08D5FBB}"/>
    <cellStyle name="40% - Accent4 2 2 2 3 2 3" xfId="11783" xr:uid="{A85C5278-3794-45AD-9CA2-B725EBEE783D}"/>
    <cellStyle name="40% - Accent4 2 2 2 3 3" xfId="5406" xr:uid="{00000000-0005-0000-0000-0000AC050000}"/>
    <cellStyle name="40% - Accent4 2 2 2 3 3 2" xfId="13856" xr:uid="{8E6E309C-9E89-4A11-A65D-A6913A3683EE}"/>
    <cellStyle name="40% - Accent4 2 2 2 3 4" xfId="9638" xr:uid="{7BF59ADB-8DDD-4CD1-ABC3-92D00FFE3E41}"/>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2 2 2" xfId="16414" xr:uid="{386EB812-9CE0-4AC7-99DD-B2EF8F7F34BE}"/>
    <cellStyle name="40% - Accent4 2 2 2 4 2 3" xfId="12196" xr:uid="{4AF98842-E358-4987-BA95-0D2B301D843A}"/>
    <cellStyle name="40% - Accent4 2 2 2 4 3" xfId="5819" xr:uid="{00000000-0005-0000-0000-0000B0050000}"/>
    <cellStyle name="40% - Accent4 2 2 2 4 3 2" xfId="14269" xr:uid="{C2F94494-4CC3-40C4-80EE-8EA3AB87689F}"/>
    <cellStyle name="40% - Accent4 2 2 2 4 4" xfId="10051" xr:uid="{428603E6-DAC0-4880-9400-A765CE3D9025}"/>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2 2 2" xfId="16827" xr:uid="{DC987D26-B089-43D0-AB77-C243C29E9CB6}"/>
    <cellStyle name="40% - Accent4 2 2 2 5 2 3" xfId="12609" xr:uid="{BA44AC3E-E0E5-41DD-947D-0430F0294B53}"/>
    <cellStyle name="40% - Accent4 2 2 2 5 3" xfId="6232" xr:uid="{00000000-0005-0000-0000-0000B4050000}"/>
    <cellStyle name="40% - Accent4 2 2 2 5 3 2" xfId="14682" xr:uid="{5E39CBF6-1F04-49D1-9C57-B9F9A7CF08AC}"/>
    <cellStyle name="40% - Accent4 2 2 2 5 4" xfId="10464" xr:uid="{CB73BFDD-25C8-4EDF-B416-8B544D767D5D}"/>
    <cellStyle name="40% - Accent4 2 2 2 6" xfId="2339" xr:uid="{00000000-0005-0000-0000-0000B5050000}"/>
    <cellStyle name="40% - Accent4 2 2 2 6 2" xfId="6645" xr:uid="{00000000-0005-0000-0000-0000B6050000}"/>
    <cellStyle name="40% - Accent4 2 2 2 6 2 2" xfId="15095" xr:uid="{A65E1088-8E62-41CF-B3B8-268970593F8F}"/>
    <cellStyle name="40% - Accent4 2 2 2 6 3" xfId="10877" xr:uid="{B5B61253-A1BA-4E03-A21F-51882051B6B5}"/>
    <cellStyle name="40% - Accent4 2 2 2 7" xfId="4579" xr:uid="{00000000-0005-0000-0000-0000B7050000}"/>
    <cellStyle name="40% - Accent4 2 2 2 7 2" xfId="13029" xr:uid="{56762F2C-6B0A-4B66-9AA5-01B66C9C0FA8}"/>
    <cellStyle name="40% - Accent4 2 2 2 8" xfId="8811" xr:uid="{9FD0890C-1EA0-4821-A071-2D0DA9F6A5DD}"/>
    <cellStyle name="40% - Accent4 2 2 3" xfId="644" xr:uid="{00000000-0005-0000-0000-0000B8050000}"/>
    <cellStyle name="40% - Accent4 2 2 3 2" xfId="2915" xr:uid="{00000000-0005-0000-0000-0000B9050000}"/>
    <cellStyle name="40% - Accent4 2 2 3 2 2" xfId="7137" xr:uid="{00000000-0005-0000-0000-0000BA050000}"/>
    <cellStyle name="40% - Accent4 2 2 3 2 2 2" xfId="15587" xr:uid="{3A5844EB-A63E-45C7-91FC-D6AED5B55F04}"/>
    <cellStyle name="40% - Accent4 2 2 3 2 3" xfId="11369" xr:uid="{C680BFEE-2ED4-4792-B10A-0DAA1D388D2A}"/>
    <cellStyle name="40% - Accent4 2 2 3 3" xfId="4992" xr:uid="{00000000-0005-0000-0000-0000BB050000}"/>
    <cellStyle name="40% - Accent4 2 2 3 3 2" xfId="13442" xr:uid="{4205C7AB-46A9-4E97-B6D2-18A6DF0A3ED0}"/>
    <cellStyle name="40% - Accent4 2 2 3 4" xfId="9224" xr:uid="{D962F36E-7293-4D0A-80F1-57217C37E2B6}"/>
    <cellStyle name="40% - Accent4 2 2 4" xfId="1097" xr:uid="{00000000-0005-0000-0000-0000BC050000}"/>
    <cellStyle name="40% - Accent4 2 2 4 2" xfId="3328" xr:uid="{00000000-0005-0000-0000-0000BD050000}"/>
    <cellStyle name="40% - Accent4 2 2 4 2 2" xfId="7550" xr:uid="{00000000-0005-0000-0000-0000BE050000}"/>
    <cellStyle name="40% - Accent4 2 2 4 2 2 2" xfId="16000" xr:uid="{90DA6B53-8621-48CB-81B3-FEB948717E3F}"/>
    <cellStyle name="40% - Accent4 2 2 4 2 3" xfId="11782" xr:uid="{8526AA16-DE92-4EEC-817B-3C72C87859EF}"/>
    <cellStyle name="40% - Accent4 2 2 4 3" xfId="5405" xr:uid="{00000000-0005-0000-0000-0000BF050000}"/>
    <cellStyle name="40% - Accent4 2 2 4 3 2" xfId="13855" xr:uid="{A2A17E31-D749-4A3A-97A0-DC1E075A6D0C}"/>
    <cellStyle name="40% - Accent4 2 2 4 4" xfId="9637" xr:uid="{258B855F-91B4-47E9-94C8-46DFBE51BBB7}"/>
    <cellStyle name="40% - Accent4 2 2 5" xfId="1511" xr:uid="{00000000-0005-0000-0000-0000C0050000}"/>
    <cellStyle name="40% - Accent4 2 2 5 2" xfId="3741" xr:uid="{00000000-0005-0000-0000-0000C1050000}"/>
    <cellStyle name="40% - Accent4 2 2 5 2 2" xfId="7963" xr:uid="{00000000-0005-0000-0000-0000C2050000}"/>
    <cellStyle name="40% - Accent4 2 2 5 2 2 2" xfId="16413" xr:uid="{66AE3919-C94C-4609-A3CE-0C52CA386F7F}"/>
    <cellStyle name="40% - Accent4 2 2 5 2 3" xfId="12195" xr:uid="{BFE5CDD3-8968-4976-8CF6-72FACF97BF31}"/>
    <cellStyle name="40% - Accent4 2 2 5 3" xfId="5818" xr:uid="{00000000-0005-0000-0000-0000C3050000}"/>
    <cellStyle name="40% - Accent4 2 2 5 3 2" xfId="14268" xr:uid="{2F088017-04AA-42C3-92B0-931B101FF832}"/>
    <cellStyle name="40% - Accent4 2 2 5 4" xfId="10050" xr:uid="{68BBCB79-857D-477E-805B-5052663A9304}"/>
    <cellStyle name="40% - Accent4 2 2 6" xfId="1925" xr:uid="{00000000-0005-0000-0000-0000C4050000}"/>
    <cellStyle name="40% - Accent4 2 2 6 2" xfId="4154" xr:uid="{00000000-0005-0000-0000-0000C5050000}"/>
    <cellStyle name="40% - Accent4 2 2 6 2 2" xfId="8376" xr:uid="{00000000-0005-0000-0000-0000C6050000}"/>
    <cellStyle name="40% - Accent4 2 2 6 2 2 2" xfId="16826" xr:uid="{45149B84-C341-4B19-96DE-A2F0434C1EBA}"/>
    <cellStyle name="40% - Accent4 2 2 6 2 3" xfId="12608" xr:uid="{2E1126F6-8181-43B9-9439-C5F7152BF177}"/>
    <cellStyle name="40% - Accent4 2 2 6 3" xfId="6231" xr:uid="{00000000-0005-0000-0000-0000C7050000}"/>
    <cellStyle name="40% - Accent4 2 2 6 3 2" xfId="14681" xr:uid="{50BA8B96-4FC7-422F-8D67-98D1BEE7B920}"/>
    <cellStyle name="40% - Accent4 2 2 6 4" xfId="10463" xr:uid="{AAEBAE1D-2D7C-443A-8128-493F4BC58A28}"/>
    <cellStyle name="40% - Accent4 2 2 7" xfId="2338" xr:uid="{00000000-0005-0000-0000-0000C8050000}"/>
    <cellStyle name="40% - Accent4 2 2 7 2" xfId="6644" xr:uid="{00000000-0005-0000-0000-0000C9050000}"/>
    <cellStyle name="40% - Accent4 2 2 7 2 2" xfId="15094" xr:uid="{90BC0325-80AF-4F4A-8BDC-7899F151A7D8}"/>
    <cellStyle name="40% - Accent4 2 2 7 3" xfId="10876" xr:uid="{1EC7EDFA-CB11-4245-8765-94BED4029BD3}"/>
    <cellStyle name="40% - Accent4 2 2 8" xfId="4578" xr:uid="{00000000-0005-0000-0000-0000CA050000}"/>
    <cellStyle name="40% - Accent4 2 2 8 2" xfId="13028" xr:uid="{FF8DBADE-94BB-45E4-9BB4-9509C3AC0E21}"/>
    <cellStyle name="40% - Accent4 2 2 9" xfId="8810" xr:uid="{95CE74DC-C619-478C-A1FD-4E31E020387B}"/>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2 2 2" xfId="15589" xr:uid="{6198279C-75F8-4769-8A31-14030EAD22FF}"/>
    <cellStyle name="40% - Accent4 2 3 2 2 3" xfId="11371" xr:uid="{B3C19BD2-6CDE-4F14-9B67-53CEFA89FE74}"/>
    <cellStyle name="40% - Accent4 2 3 2 3" xfId="4994" xr:uid="{00000000-0005-0000-0000-0000CF050000}"/>
    <cellStyle name="40% - Accent4 2 3 2 3 2" xfId="13444" xr:uid="{AB4D9318-4C9E-4788-9528-FF219F8F2A2F}"/>
    <cellStyle name="40% - Accent4 2 3 2 4" xfId="9226" xr:uid="{01E956E9-0A49-4711-9138-4BC6FD4DB401}"/>
    <cellStyle name="40% - Accent4 2 3 3" xfId="1099" xr:uid="{00000000-0005-0000-0000-0000D0050000}"/>
    <cellStyle name="40% - Accent4 2 3 3 2" xfId="3330" xr:uid="{00000000-0005-0000-0000-0000D1050000}"/>
    <cellStyle name="40% - Accent4 2 3 3 2 2" xfId="7552" xr:uid="{00000000-0005-0000-0000-0000D2050000}"/>
    <cellStyle name="40% - Accent4 2 3 3 2 2 2" xfId="16002" xr:uid="{37C44852-08F1-4662-9903-704201DD2456}"/>
    <cellStyle name="40% - Accent4 2 3 3 2 3" xfId="11784" xr:uid="{ED2B7C2D-9685-4444-A3F8-2B68BD21BCA4}"/>
    <cellStyle name="40% - Accent4 2 3 3 3" xfId="5407" xr:uid="{00000000-0005-0000-0000-0000D3050000}"/>
    <cellStyle name="40% - Accent4 2 3 3 3 2" xfId="13857" xr:uid="{13CB7733-4BC9-4230-832C-4D824520E51E}"/>
    <cellStyle name="40% - Accent4 2 3 3 4" xfId="9639" xr:uid="{D9F66F19-AE0D-4313-9072-84BC475867D9}"/>
    <cellStyle name="40% - Accent4 2 3 4" xfId="1513" xr:uid="{00000000-0005-0000-0000-0000D4050000}"/>
    <cellStyle name="40% - Accent4 2 3 4 2" xfId="3743" xr:uid="{00000000-0005-0000-0000-0000D5050000}"/>
    <cellStyle name="40% - Accent4 2 3 4 2 2" xfId="7965" xr:uid="{00000000-0005-0000-0000-0000D6050000}"/>
    <cellStyle name="40% - Accent4 2 3 4 2 2 2" xfId="16415" xr:uid="{D04E8437-FD01-4D5F-91A6-CDDD9AE8D697}"/>
    <cellStyle name="40% - Accent4 2 3 4 2 3" xfId="12197" xr:uid="{BDB669D2-8D58-4F77-981C-B88227AB93FC}"/>
    <cellStyle name="40% - Accent4 2 3 4 3" xfId="5820" xr:uid="{00000000-0005-0000-0000-0000D7050000}"/>
    <cellStyle name="40% - Accent4 2 3 4 3 2" xfId="14270" xr:uid="{8A0B3DFB-8BA1-47BF-A88A-A11E1BA624B2}"/>
    <cellStyle name="40% - Accent4 2 3 4 4" xfId="10052" xr:uid="{352C5C28-102B-4620-B6B1-A941A1D4E767}"/>
    <cellStyle name="40% - Accent4 2 3 5" xfId="1927" xr:uid="{00000000-0005-0000-0000-0000D8050000}"/>
    <cellStyle name="40% - Accent4 2 3 5 2" xfId="4156" xr:uid="{00000000-0005-0000-0000-0000D9050000}"/>
    <cellStyle name="40% - Accent4 2 3 5 2 2" xfId="8378" xr:uid="{00000000-0005-0000-0000-0000DA050000}"/>
    <cellStyle name="40% - Accent4 2 3 5 2 2 2" xfId="16828" xr:uid="{743EEE25-B38F-46B5-97A8-1C8E1DB8CDD9}"/>
    <cellStyle name="40% - Accent4 2 3 5 2 3" xfId="12610" xr:uid="{A0E30107-D384-435F-87C0-6C1BFC434C78}"/>
    <cellStyle name="40% - Accent4 2 3 5 3" xfId="6233" xr:uid="{00000000-0005-0000-0000-0000DB050000}"/>
    <cellStyle name="40% - Accent4 2 3 5 3 2" xfId="14683" xr:uid="{8E9EF2B7-0E63-4803-B6F7-C3ACC2561433}"/>
    <cellStyle name="40% - Accent4 2 3 5 4" xfId="10465" xr:uid="{3517D09C-A3DF-4E16-BEB2-13E4986FCF16}"/>
    <cellStyle name="40% - Accent4 2 3 6" xfId="2340" xr:uid="{00000000-0005-0000-0000-0000DC050000}"/>
    <cellStyle name="40% - Accent4 2 3 6 2" xfId="6646" xr:uid="{00000000-0005-0000-0000-0000DD050000}"/>
    <cellStyle name="40% - Accent4 2 3 6 2 2" xfId="15096" xr:uid="{B36E41F7-5564-4F60-A7BE-89EA23125896}"/>
    <cellStyle name="40% - Accent4 2 3 6 3" xfId="10878" xr:uid="{08611533-06BE-4A14-A139-AA622DB0765B}"/>
    <cellStyle name="40% - Accent4 2 3 7" xfId="4580" xr:uid="{00000000-0005-0000-0000-0000DE050000}"/>
    <cellStyle name="40% - Accent4 2 3 7 2" xfId="13030" xr:uid="{8D9C0D56-4227-43A7-9107-1C08D40A9506}"/>
    <cellStyle name="40% - Accent4 2 3 8" xfId="8812" xr:uid="{C16A7958-51D6-4925-B90A-AC1F54225724}"/>
    <cellStyle name="40% - Accent4 2 4" xfId="643" xr:uid="{00000000-0005-0000-0000-0000DF050000}"/>
    <cellStyle name="40% - Accent4 2 4 2" xfId="2914" xr:uid="{00000000-0005-0000-0000-0000E0050000}"/>
    <cellStyle name="40% - Accent4 2 4 2 2" xfId="7136" xr:uid="{00000000-0005-0000-0000-0000E1050000}"/>
    <cellStyle name="40% - Accent4 2 4 2 2 2" xfId="15586" xr:uid="{9A22369C-9B31-4C13-BC70-E33C5724AAA9}"/>
    <cellStyle name="40% - Accent4 2 4 2 3" xfId="11368" xr:uid="{44E4A566-4ABC-4257-BAFE-8DC9E07D5FE9}"/>
    <cellStyle name="40% - Accent4 2 4 3" xfId="4991" xr:uid="{00000000-0005-0000-0000-0000E2050000}"/>
    <cellStyle name="40% - Accent4 2 4 3 2" xfId="13441" xr:uid="{CCEE63DB-D86E-41FD-A6DA-7A1C976B8ADB}"/>
    <cellStyle name="40% - Accent4 2 4 4" xfId="9223" xr:uid="{39DCBE7B-A719-40F9-8663-63A317516376}"/>
    <cellStyle name="40% - Accent4 2 5" xfId="1096" xr:uid="{00000000-0005-0000-0000-0000E3050000}"/>
    <cellStyle name="40% - Accent4 2 5 2" xfId="3327" xr:uid="{00000000-0005-0000-0000-0000E4050000}"/>
    <cellStyle name="40% - Accent4 2 5 2 2" xfId="7549" xr:uid="{00000000-0005-0000-0000-0000E5050000}"/>
    <cellStyle name="40% - Accent4 2 5 2 2 2" xfId="15999" xr:uid="{4270E4D9-CCED-4E1B-935D-DC19FE991E41}"/>
    <cellStyle name="40% - Accent4 2 5 2 3" xfId="11781" xr:uid="{6730BBA8-EFD4-426B-A65A-36B5D5FA333E}"/>
    <cellStyle name="40% - Accent4 2 5 3" xfId="5404" xr:uid="{00000000-0005-0000-0000-0000E6050000}"/>
    <cellStyle name="40% - Accent4 2 5 3 2" xfId="13854" xr:uid="{E2580013-0AAD-454F-86DF-779788B50E1D}"/>
    <cellStyle name="40% - Accent4 2 5 4" xfId="9636" xr:uid="{9310C5FA-D1C5-4ACE-8571-D668EBDEBF0F}"/>
    <cellStyle name="40% - Accent4 2 6" xfId="1510" xr:uid="{00000000-0005-0000-0000-0000E7050000}"/>
    <cellStyle name="40% - Accent4 2 6 2" xfId="3740" xr:uid="{00000000-0005-0000-0000-0000E8050000}"/>
    <cellStyle name="40% - Accent4 2 6 2 2" xfId="7962" xr:uid="{00000000-0005-0000-0000-0000E9050000}"/>
    <cellStyle name="40% - Accent4 2 6 2 2 2" xfId="16412" xr:uid="{35DA358B-81E9-4C1D-BA6E-F9D5E4EFF53F}"/>
    <cellStyle name="40% - Accent4 2 6 2 3" xfId="12194" xr:uid="{C4891542-C50D-4CF1-ABAA-C8CFDE1CCE68}"/>
    <cellStyle name="40% - Accent4 2 6 3" xfId="5817" xr:uid="{00000000-0005-0000-0000-0000EA050000}"/>
    <cellStyle name="40% - Accent4 2 6 3 2" xfId="14267" xr:uid="{EF03D6F7-33A7-4690-850B-AEB0FD9BED3D}"/>
    <cellStyle name="40% - Accent4 2 6 4" xfId="10049" xr:uid="{A773557A-0FC1-43EE-AAC7-DC07D01054EC}"/>
    <cellStyle name="40% - Accent4 2 7" xfId="1924" xr:uid="{00000000-0005-0000-0000-0000EB050000}"/>
    <cellStyle name="40% - Accent4 2 7 2" xfId="4153" xr:uid="{00000000-0005-0000-0000-0000EC050000}"/>
    <cellStyle name="40% - Accent4 2 7 2 2" xfId="8375" xr:uid="{00000000-0005-0000-0000-0000ED050000}"/>
    <cellStyle name="40% - Accent4 2 7 2 2 2" xfId="16825" xr:uid="{63EE1A4E-933E-46E5-A884-9DA1095D9970}"/>
    <cellStyle name="40% - Accent4 2 7 2 3" xfId="12607" xr:uid="{DC63869C-8B13-4673-974C-79D2376BE1C3}"/>
    <cellStyle name="40% - Accent4 2 7 3" xfId="6230" xr:uid="{00000000-0005-0000-0000-0000EE050000}"/>
    <cellStyle name="40% - Accent4 2 7 3 2" xfId="14680" xr:uid="{60D81C87-86DC-49FB-BB4C-30315FE4D6A7}"/>
    <cellStyle name="40% - Accent4 2 7 4" xfId="10462" xr:uid="{93F58C04-9692-43AA-BB4C-AC789B0C8271}"/>
    <cellStyle name="40% - Accent4 2 8" xfId="2337" xr:uid="{00000000-0005-0000-0000-0000EF050000}"/>
    <cellStyle name="40% - Accent4 2 8 2" xfId="6643" xr:uid="{00000000-0005-0000-0000-0000F0050000}"/>
    <cellStyle name="40% - Accent4 2 8 2 2" xfId="15093" xr:uid="{6A9C3319-14EC-44A2-A086-E78C6987E4E6}"/>
    <cellStyle name="40% - Accent4 2 8 3" xfId="10875" xr:uid="{69ECFA77-8FD4-42A1-8D98-5EAE48C313FF}"/>
    <cellStyle name="40% - Accent4 2 9" xfId="4577" xr:uid="{00000000-0005-0000-0000-0000F1050000}"/>
    <cellStyle name="40% - Accent4 2 9 2" xfId="13027" xr:uid="{6D179C37-9161-483B-B1F2-CB337AE81D6E}"/>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2 2 2" xfId="15591" xr:uid="{461C8CFA-8440-4A20-B0C4-52A44A5AACD5}"/>
    <cellStyle name="40% - Accent4 3 2 2 2 3" xfId="11373" xr:uid="{B19955A9-9F33-491A-8F47-173036A776DD}"/>
    <cellStyle name="40% - Accent4 3 2 2 3" xfId="4996" xr:uid="{00000000-0005-0000-0000-0000F7050000}"/>
    <cellStyle name="40% - Accent4 3 2 2 3 2" xfId="13446" xr:uid="{8F2E728C-0B5B-4C8C-AA89-06B9A4110269}"/>
    <cellStyle name="40% - Accent4 3 2 2 4" xfId="9228" xr:uid="{747B8ED7-2FA6-417B-BE75-620C08F9AA9A}"/>
    <cellStyle name="40% - Accent4 3 2 3" xfId="1101" xr:uid="{00000000-0005-0000-0000-0000F8050000}"/>
    <cellStyle name="40% - Accent4 3 2 3 2" xfId="3332" xr:uid="{00000000-0005-0000-0000-0000F9050000}"/>
    <cellStyle name="40% - Accent4 3 2 3 2 2" xfId="7554" xr:uid="{00000000-0005-0000-0000-0000FA050000}"/>
    <cellStyle name="40% - Accent4 3 2 3 2 2 2" xfId="16004" xr:uid="{CEA98125-2929-4AD0-9B40-98EBCEA34B8A}"/>
    <cellStyle name="40% - Accent4 3 2 3 2 3" xfId="11786" xr:uid="{A629FC44-74FE-493B-A40D-62DA04E80BE3}"/>
    <cellStyle name="40% - Accent4 3 2 3 3" xfId="5409" xr:uid="{00000000-0005-0000-0000-0000FB050000}"/>
    <cellStyle name="40% - Accent4 3 2 3 3 2" xfId="13859" xr:uid="{F697BBE2-B10B-47A5-8F23-6F6603AA426D}"/>
    <cellStyle name="40% - Accent4 3 2 3 4" xfId="9641" xr:uid="{2FA70636-C7BB-4B0D-9F02-86E889026C8A}"/>
    <cellStyle name="40% - Accent4 3 2 4" xfId="1515" xr:uid="{00000000-0005-0000-0000-0000FC050000}"/>
    <cellStyle name="40% - Accent4 3 2 4 2" xfId="3745" xr:uid="{00000000-0005-0000-0000-0000FD050000}"/>
    <cellStyle name="40% - Accent4 3 2 4 2 2" xfId="7967" xr:uid="{00000000-0005-0000-0000-0000FE050000}"/>
    <cellStyle name="40% - Accent4 3 2 4 2 2 2" xfId="16417" xr:uid="{6EAD8018-7B9F-414A-AEC3-C6BB99714C13}"/>
    <cellStyle name="40% - Accent4 3 2 4 2 3" xfId="12199" xr:uid="{13AD6499-DAD0-494E-9B84-42309BEA97F2}"/>
    <cellStyle name="40% - Accent4 3 2 4 3" xfId="5822" xr:uid="{00000000-0005-0000-0000-0000FF050000}"/>
    <cellStyle name="40% - Accent4 3 2 4 3 2" xfId="14272" xr:uid="{CDB594EA-1B8B-4AB5-8D9E-E4183F3FBB75}"/>
    <cellStyle name="40% - Accent4 3 2 4 4" xfId="10054" xr:uid="{F2DE107F-2FA7-4CB3-946D-FA5125A21668}"/>
    <cellStyle name="40% - Accent4 3 2 5" xfId="1929" xr:uid="{00000000-0005-0000-0000-000000060000}"/>
    <cellStyle name="40% - Accent4 3 2 5 2" xfId="4158" xr:uid="{00000000-0005-0000-0000-000001060000}"/>
    <cellStyle name="40% - Accent4 3 2 5 2 2" xfId="8380" xr:uid="{00000000-0005-0000-0000-000002060000}"/>
    <cellStyle name="40% - Accent4 3 2 5 2 2 2" xfId="16830" xr:uid="{D0C0CD35-8AA1-4E3B-8829-7267B2F9C15D}"/>
    <cellStyle name="40% - Accent4 3 2 5 2 3" xfId="12612" xr:uid="{ACC70FDF-E2A3-4FAA-A649-C38B23D08DC2}"/>
    <cellStyle name="40% - Accent4 3 2 5 3" xfId="6235" xr:uid="{00000000-0005-0000-0000-000003060000}"/>
    <cellStyle name="40% - Accent4 3 2 5 3 2" xfId="14685" xr:uid="{CCE16289-9AAF-48FB-8CD2-9E47B807C205}"/>
    <cellStyle name="40% - Accent4 3 2 5 4" xfId="10467" xr:uid="{9B5FE837-BBA2-4E62-899B-357A8B73570B}"/>
    <cellStyle name="40% - Accent4 3 2 6" xfId="2342" xr:uid="{00000000-0005-0000-0000-000004060000}"/>
    <cellStyle name="40% - Accent4 3 2 6 2" xfId="6648" xr:uid="{00000000-0005-0000-0000-000005060000}"/>
    <cellStyle name="40% - Accent4 3 2 6 2 2" xfId="15098" xr:uid="{1F98697B-7837-494D-BC92-E0C1C3FAE303}"/>
    <cellStyle name="40% - Accent4 3 2 6 3" xfId="10880" xr:uid="{ACBD75AE-0842-4A79-9BE6-3E200BFB3E9E}"/>
    <cellStyle name="40% - Accent4 3 2 7" xfId="4582" xr:uid="{00000000-0005-0000-0000-000006060000}"/>
    <cellStyle name="40% - Accent4 3 2 7 2" xfId="13032" xr:uid="{B4A898D6-7C66-42E5-9FD9-D4FC07AFBEDF}"/>
    <cellStyle name="40% - Accent4 3 2 8" xfId="8814" xr:uid="{0C07F36A-FC17-4819-9E39-D8027D1C0C04}"/>
    <cellStyle name="40% - Accent4 3 3" xfId="647" xr:uid="{00000000-0005-0000-0000-000007060000}"/>
    <cellStyle name="40% - Accent4 3 3 2" xfId="2918" xr:uid="{00000000-0005-0000-0000-000008060000}"/>
    <cellStyle name="40% - Accent4 3 3 2 2" xfId="7140" xr:uid="{00000000-0005-0000-0000-000009060000}"/>
    <cellStyle name="40% - Accent4 3 3 2 2 2" xfId="15590" xr:uid="{7957B16E-ADFC-4682-892D-1DFE9EBDCECC}"/>
    <cellStyle name="40% - Accent4 3 3 2 3" xfId="11372" xr:uid="{A3DA345B-6811-4558-90EB-4B71C4C84A6A}"/>
    <cellStyle name="40% - Accent4 3 3 3" xfId="4995" xr:uid="{00000000-0005-0000-0000-00000A060000}"/>
    <cellStyle name="40% - Accent4 3 3 3 2" xfId="13445" xr:uid="{D8E84216-09F4-4490-9DEB-C030C71B6E1F}"/>
    <cellStyle name="40% - Accent4 3 3 4" xfId="9227" xr:uid="{B227BB5B-8223-4AD0-8CF4-C5C7143C7675}"/>
    <cellStyle name="40% - Accent4 3 4" xfId="1100" xr:uid="{00000000-0005-0000-0000-00000B060000}"/>
    <cellStyle name="40% - Accent4 3 4 2" xfId="3331" xr:uid="{00000000-0005-0000-0000-00000C060000}"/>
    <cellStyle name="40% - Accent4 3 4 2 2" xfId="7553" xr:uid="{00000000-0005-0000-0000-00000D060000}"/>
    <cellStyle name="40% - Accent4 3 4 2 2 2" xfId="16003" xr:uid="{2EAE3CA8-9776-47C7-AD45-075F29A1C1EE}"/>
    <cellStyle name="40% - Accent4 3 4 2 3" xfId="11785" xr:uid="{3A0C808C-EB7D-4EFD-B93E-89C61867D2B2}"/>
    <cellStyle name="40% - Accent4 3 4 3" xfId="5408" xr:uid="{00000000-0005-0000-0000-00000E060000}"/>
    <cellStyle name="40% - Accent4 3 4 3 2" xfId="13858" xr:uid="{3A3F5777-AC11-4B4E-A30F-66AA1CB6C470}"/>
    <cellStyle name="40% - Accent4 3 4 4" xfId="9640" xr:uid="{76601016-28D3-4E9B-B667-F083F9EC40E0}"/>
    <cellStyle name="40% - Accent4 3 5" xfId="1514" xr:uid="{00000000-0005-0000-0000-00000F060000}"/>
    <cellStyle name="40% - Accent4 3 5 2" xfId="3744" xr:uid="{00000000-0005-0000-0000-000010060000}"/>
    <cellStyle name="40% - Accent4 3 5 2 2" xfId="7966" xr:uid="{00000000-0005-0000-0000-000011060000}"/>
    <cellStyle name="40% - Accent4 3 5 2 2 2" xfId="16416" xr:uid="{EDFFA94A-A68E-4F53-97A6-BA536A623FEC}"/>
    <cellStyle name="40% - Accent4 3 5 2 3" xfId="12198" xr:uid="{2FA2ACCB-EBF2-4662-AB12-F0E25867C78A}"/>
    <cellStyle name="40% - Accent4 3 5 3" xfId="5821" xr:uid="{00000000-0005-0000-0000-000012060000}"/>
    <cellStyle name="40% - Accent4 3 5 3 2" xfId="14271" xr:uid="{FF3234E8-E640-4ADC-B030-608B0242A0B9}"/>
    <cellStyle name="40% - Accent4 3 5 4" xfId="10053" xr:uid="{6213E1CE-B276-4D3E-8496-620D373AFE90}"/>
    <cellStyle name="40% - Accent4 3 6" xfId="1928" xr:uid="{00000000-0005-0000-0000-000013060000}"/>
    <cellStyle name="40% - Accent4 3 6 2" xfId="4157" xr:uid="{00000000-0005-0000-0000-000014060000}"/>
    <cellStyle name="40% - Accent4 3 6 2 2" xfId="8379" xr:uid="{00000000-0005-0000-0000-000015060000}"/>
    <cellStyle name="40% - Accent4 3 6 2 2 2" xfId="16829" xr:uid="{761FAE4B-8BF2-4E5B-AD35-F48F4F121710}"/>
    <cellStyle name="40% - Accent4 3 6 2 3" xfId="12611" xr:uid="{688A2AA0-30A2-4D2A-AF17-A933665891EB}"/>
    <cellStyle name="40% - Accent4 3 6 3" xfId="6234" xr:uid="{00000000-0005-0000-0000-000016060000}"/>
    <cellStyle name="40% - Accent4 3 6 3 2" xfId="14684" xr:uid="{AB9A2E1F-09DC-4E21-9A7C-C10ED5025234}"/>
    <cellStyle name="40% - Accent4 3 6 4" xfId="10466" xr:uid="{172FC91A-65A7-41D5-8BFA-140FEEAF66FD}"/>
    <cellStyle name="40% - Accent4 3 7" xfId="2341" xr:uid="{00000000-0005-0000-0000-000017060000}"/>
    <cellStyle name="40% - Accent4 3 7 2" xfId="6647" xr:uid="{00000000-0005-0000-0000-000018060000}"/>
    <cellStyle name="40% - Accent4 3 7 2 2" xfId="15097" xr:uid="{85EE0E77-0F20-4DE4-91ED-8A4FF8B90F9B}"/>
    <cellStyle name="40% - Accent4 3 7 3" xfId="10879" xr:uid="{285946D9-CA39-441E-A9E1-61CD92CFA959}"/>
    <cellStyle name="40% - Accent4 3 8" xfId="4581" xr:uid="{00000000-0005-0000-0000-000019060000}"/>
    <cellStyle name="40% - Accent4 3 8 2" xfId="13031" xr:uid="{D8F154CF-6B68-495C-B0D9-97D10B6F7F78}"/>
    <cellStyle name="40% - Accent4 3 9" xfId="8813" xr:uid="{41C28527-662F-4EF7-A34E-DADF24468078}"/>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2 2 2" xfId="15592" xr:uid="{564AF8CA-2FC0-4A3E-8879-4F08753CF2EC}"/>
    <cellStyle name="40% - Accent4 4 2 2 3" xfId="11374" xr:uid="{2C520EE8-96B7-43A1-BEF6-A83C5A37EA06}"/>
    <cellStyle name="40% - Accent4 4 2 3" xfId="4997" xr:uid="{00000000-0005-0000-0000-00001E060000}"/>
    <cellStyle name="40% - Accent4 4 2 3 2" xfId="13447" xr:uid="{A4919653-461E-4324-95BF-1964707C4E82}"/>
    <cellStyle name="40% - Accent4 4 2 4" xfId="9229" xr:uid="{AE340C58-BC75-4413-9F68-F7A7A31190BB}"/>
    <cellStyle name="40% - Accent4 4 3" xfId="1102" xr:uid="{00000000-0005-0000-0000-00001F060000}"/>
    <cellStyle name="40% - Accent4 4 3 2" xfId="3333" xr:uid="{00000000-0005-0000-0000-000020060000}"/>
    <cellStyle name="40% - Accent4 4 3 2 2" xfId="7555" xr:uid="{00000000-0005-0000-0000-000021060000}"/>
    <cellStyle name="40% - Accent4 4 3 2 2 2" xfId="16005" xr:uid="{D2440DA1-D98C-40ED-B10F-7840E8259111}"/>
    <cellStyle name="40% - Accent4 4 3 2 3" xfId="11787" xr:uid="{6FA0207A-F8D6-4C93-8291-ACC413BC2979}"/>
    <cellStyle name="40% - Accent4 4 3 3" xfId="5410" xr:uid="{00000000-0005-0000-0000-000022060000}"/>
    <cellStyle name="40% - Accent4 4 3 3 2" xfId="13860" xr:uid="{68A157C8-BF03-40DE-A007-6A6F8ABBA5A7}"/>
    <cellStyle name="40% - Accent4 4 3 4" xfId="9642" xr:uid="{C95F4F71-6318-4F2A-9C1E-42F18B919617}"/>
    <cellStyle name="40% - Accent4 4 4" xfId="1516" xr:uid="{00000000-0005-0000-0000-000023060000}"/>
    <cellStyle name="40% - Accent4 4 4 2" xfId="3746" xr:uid="{00000000-0005-0000-0000-000024060000}"/>
    <cellStyle name="40% - Accent4 4 4 2 2" xfId="7968" xr:uid="{00000000-0005-0000-0000-000025060000}"/>
    <cellStyle name="40% - Accent4 4 4 2 2 2" xfId="16418" xr:uid="{EE002693-93EE-4831-A1A7-43D63CED5CD2}"/>
    <cellStyle name="40% - Accent4 4 4 2 3" xfId="12200" xr:uid="{E78CAF64-4DE6-4510-81BF-0E946C3495DD}"/>
    <cellStyle name="40% - Accent4 4 4 3" xfId="5823" xr:uid="{00000000-0005-0000-0000-000026060000}"/>
    <cellStyle name="40% - Accent4 4 4 3 2" xfId="14273" xr:uid="{A7A3BE99-4865-4AB6-8445-0AB25DFBC101}"/>
    <cellStyle name="40% - Accent4 4 4 4" xfId="10055" xr:uid="{13449F55-CE8F-4343-B405-C0448511B841}"/>
    <cellStyle name="40% - Accent4 4 5" xfId="1930" xr:uid="{00000000-0005-0000-0000-000027060000}"/>
    <cellStyle name="40% - Accent4 4 5 2" xfId="4159" xr:uid="{00000000-0005-0000-0000-000028060000}"/>
    <cellStyle name="40% - Accent4 4 5 2 2" xfId="8381" xr:uid="{00000000-0005-0000-0000-000029060000}"/>
    <cellStyle name="40% - Accent4 4 5 2 2 2" xfId="16831" xr:uid="{88053C43-912B-4128-9ECC-B53366217D61}"/>
    <cellStyle name="40% - Accent4 4 5 2 3" xfId="12613" xr:uid="{468FEAE4-CA0B-491B-A61F-A79C948A3377}"/>
    <cellStyle name="40% - Accent4 4 5 3" xfId="6236" xr:uid="{00000000-0005-0000-0000-00002A060000}"/>
    <cellStyle name="40% - Accent4 4 5 3 2" xfId="14686" xr:uid="{537E6E2A-67AD-4F0D-924E-B9D412E40A6B}"/>
    <cellStyle name="40% - Accent4 4 5 4" xfId="10468" xr:uid="{C3E2F68B-0B38-4F7D-BCFB-C145890E1434}"/>
    <cellStyle name="40% - Accent4 4 6" xfId="2343" xr:uid="{00000000-0005-0000-0000-00002B060000}"/>
    <cellStyle name="40% - Accent4 4 6 2" xfId="6649" xr:uid="{00000000-0005-0000-0000-00002C060000}"/>
    <cellStyle name="40% - Accent4 4 6 2 2" xfId="15099" xr:uid="{A8125BA6-832F-4DD5-8AD3-E418B64375AC}"/>
    <cellStyle name="40% - Accent4 4 6 3" xfId="10881" xr:uid="{6E41B5D0-9280-45DE-B430-AF504DD9FE07}"/>
    <cellStyle name="40% - Accent4 4 7" xfId="4583" xr:uid="{00000000-0005-0000-0000-00002D060000}"/>
    <cellStyle name="40% - Accent4 4 7 2" xfId="13033" xr:uid="{5A3B50F6-2621-4569-A20D-A66E1BDE2917}"/>
    <cellStyle name="40% - Accent4 4 8" xfId="8815" xr:uid="{D23E7759-101F-452F-BCCA-66B5D463FFF0}"/>
    <cellStyle name="40% - Accent4 5" xfId="642" xr:uid="{00000000-0005-0000-0000-00002E060000}"/>
    <cellStyle name="40% - Accent4 5 2" xfId="2913" xr:uid="{00000000-0005-0000-0000-00002F060000}"/>
    <cellStyle name="40% - Accent4 5 2 2" xfId="7135" xr:uid="{00000000-0005-0000-0000-000030060000}"/>
    <cellStyle name="40% - Accent4 5 2 2 2" xfId="15585" xr:uid="{CC53C141-2175-487F-9B9C-4C9FB3D96C96}"/>
    <cellStyle name="40% - Accent4 5 2 3" xfId="11367" xr:uid="{4886E7CE-A767-4FEC-9AE6-AA8A1D03CA7A}"/>
    <cellStyle name="40% - Accent4 5 3" xfId="4990" xr:uid="{00000000-0005-0000-0000-000031060000}"/>
    <cellStyle name="40% - Accent4 5 3 2" xfId="13440" xr:uid="{9CDCCB40-8210-472D-8212-BD771F41D972}"/>
    <cellStyle name="40% - Accent4 5 4" xfId="9222" xr:uid="{B8C678D3-A54B-4AE0-8C38-CA7DD4EEEA89}"/>
    <cellStyle name="40% - Accent4 6" xfId="1095" xr:uid="{00000000-0005-0000-0000-000032060000}"/>
    <cellStyle name="40% - Accent4 6 2" xfId="3326" xr:uid="{00000000-0005-0000-0000-000033060000}"/>
    <cellStyle name="40% - Accent4 6 2 2" xfId="7548" xr:uid="{00000000-0005-0000-0000-000034060000}"/>
    <cellStyle name="40% - Accent4 6 2 2 2" xfId="15998" xr:uid="{23E6A2DE-8115-4EF6-9EE9-227FFADF4363}"/>
    <cellStyle name="40% - Accent4 6 2 3" xfId="11780" xr:uid="{CFA8B931-1A7F-416D-B261-2929895967F8}"/>
    <cellStyle name="40% - Accent4 6 3" xfId="5403" xr:uid="{00000000-0005-0000-0000-000035060000}"/>
    <cellStyle name="40% - Accent4 6 3 2" xfId="13853" xr:uid="{ACADE193-A272-4F80-B015-D083F67B436C}"/>
    <cellStyle name="40% - Accent4 6 4" xfId="9635" xr:uid="{8F702BF5-DE4A-4057-91A2-9E65535C9652}"/>
    <cellStyle name="40% - Accent4 7" xfId="1509" xr:uid="{00000000-0005-0000-0000-000036060000}"/>
    <cellStyle name="40% - Accent4 7 2" xfId="3739" xr:uid="{00000000-0005-0000-0000-000037060000}"/>
    <cellStyle name="40% - Accent4 7 2 2" xfId="7961" xr:uid="{00000000-0005-0000-0000-000038060000}"/>
    <cellStyle name="40% - Accent4 7 2 2 2" xfId="16411" xr:uid="{D1089865-60CF-4312-B88B-38744C83AAA6}"/>
    <cellStyle name="40% - Accent4 7 2 3" xfId="12193" xr:uid="{498BED4D-D171-4B24-B5DC-EEE976EED5C6}"/>
    <cellStyle name="40% - Accent4 7 3" xfId="5816" xr:uid="{00000000-0005-0000-0000-000039060000}"/>
    <cellStyle name="40% - Accent4 7 3 2" xfId="14266" xr:uid="{49D10B57-9E18-4343-8752-4B64F71622C1}"/>
    <cellStyle name="40% - Accent4 7 4" xfId="10048" xr:uid="{303D2736-AFFB-4150-93BD-C2C97BE9EDE4}"/>
    <cellStyle name="40% - Accent4 8" xfId="1923" xr:uid="{00000000-0005-0000-0000-00003A060000}"/>
    <cellStyle name="40% - Accent4 8 2" xfId="4152" xr:uid="{00000000-0005-0000-0000-00003B060000}"/>
    <cellStyle name="40% - Accent4 8 2 2" xfId="8374" xr:uid="{00000000-0005-0000-0000-00003C060000}"/>
    <cellStyle name="40% - Accent4 8 2 2 2" xfId="16824" xr:uid="{9536C8DB-897D-4588-875E-5FB5AE8BB5FC}"/>
    <cellStyle name="40% - Accent4 8 2 3" xfId="12606" xr:uid="{AB25E4AC-20C6-42D3-85F5-5CE52DF06732}"/>
    <cellStyle name="40% - Accent4 8 3" xfId="6229" xr:uid="{00000000-0005-0000-0000-00003D060000}"/>
    <cellStyle name="40% - Accent4 8 3 2" xfId="14679" xr:uid="{C8739637-CAF5-4724-979A-2E1D3749689A}"/>
    <cellStyle name="40% - Accent4 8 4" xfId="10461" xr:uid="{0E33D1FD-6254-43F0-AA70-0309D8863DD3}"/>
    <cellStyle name="40% - Accent4 9" xfId="2336" xr:uid="{00000000-0005-0000-0000-00003E060000}"/>
    <cellStyle name="40% - Accent4 9 2" xfId="6642" xr:uid="{00000000-0005-0000-0000-00003F060000}"/>
    <cellStyle name="40% - Accent4 9 2 2" xfId="15092" xr:uid="{E233427E-D14D-4513-B313-4898A056DB9B}"/>
    <cellStyle name="40% - Accent4 9 3" xfId="10874" xr:uid="{BF167FC6-E54B-4BD3-979D-30AEAEB01F10}"/>
    <cellStyle name="40% - Accent5" xfId="81" builtinId="47" customBuiltin="1"/>
    <cellStyle name="40% - Accent5 10" xfId="4584" xr:uid="{00000000-0005-0000-0000-000041060000}"/>
    <cellStyle name="40% - Accent5 10 2" xfId="13034" xr:uid="{4B31FD61-ADA4-4DEC-9E09-D665268791A8}"/>
    <cellStyle name="40% - Accent5 11" xfId="8816" xr:uid="{29A10C49-8C83-4EAB-916B-E8FAF145EF76}"/>
    <cellStyle name="40% - Accent5 2" xfId="82" xr:uid="{00000000-0005-0000-0000-000042060000}"/>
    <cellStyle name="40% - Accent5 2 10" xfId="8817" xr:uid="{6C195FB3-DD25-47D4-B295-312FBE9FD053}"/>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2 2 2" xfId="15596" xr:uid="{DC3378F9-1F87-4C7C-BB2A-34BF5CDC122B}"/>
    <cellStyle name="40% - Accent5 2 2 2 2 2 3" xfId="11378" xr:uid="{183B4349-F90A-48BA-A8C4-1CBBDF0DB546}"/>
    <cellStyle name="40% - Accent5 2 2 2 2 3" xfId="5001" xr:uid="{00000000-0005-0000-0000-000048060000}"/>
    <cellStyle name="40% - Accent5 2 2 2 2 3 2" xfId="13451" xr:uid="{C985BA22-C1A0-428F-A4D2-C4B8AA784C12}"/>
    <cellStyle name="40% - Accent5 2 2 2 2 4" xfId="9233" xr:uid="{E97E262F-E37A-46BF-9F31-C98E8001BAC7}"/>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2 2 2" xfId="16009" xr:uid="{4E896003-F510-4D63-8BF3-9A4926788B01}"/>
    <cellStyle name="40% - Accent5 2 2 2 3 2 3" xfId="11791" xr:uid="{5A0AC6CC-8703-46BB-9C0A-49E2F1200EF5}"/>
    <cellStyle name="40% - Accent5 2 2 2 3 3" xfId="5414" xr:uid="{00000000-0005-0000-0000-00004C060000}"/>
    <cellStyle name="40% - Accent5 2 2 2 3 3 2" xfId="13864" xr:uid="{A0C35F59-2368-49A7-A13C-FFAC6454634B}"/>
    <cellStyle name="40% - Accent5 2 2 2 3 4" xfId="9646" xr:uid="{F420DB37-9A65-4724-A559-990F8D33EC9B}"/>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2 2 2" xfId="16422" xr:uid="{3F4B5BD2-F6D4-44FF-9462-7A4C11EBE996}"/>
    <cellStyle name="40% - Accent5 2 2 2 4 2 3" xfId="12204" xr:uid="{82EFEDDD-5083-45F9-B7C3-EEBA22EB93F7}"/>
    <cellStyle name="40% - Accent5 2 2 2 4 3" xfId="5827" xr:uid="{00000000-0005-0000-0000-000050060000}"/>
    <cellStyle name="40% - Accent5 2 2 2 4 3 2" xfId="14277" xr:uid="{52BB3AF4-A2D6-4C4A-A6D8-14223E11C467}"/>
    <cellStyle name="40% - Accent5 2 2 2 4 4" xfId="10059" xr:uid="{E0B2AB54-F129-4523-8B1D-5E5D5522FEF4}"/>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2 2 2" xfId="16835" xr:uid="{EFF3DE71-CB04-4E0C-A842-235EE7275216}"/>
    <cellStyle name="40% - Accent5 2 2 2 5 2 3" xfId="12617" xr:uid="{77A6D8D0-2F80-441C-B3FD-EFC802DE4245}"/>
    <cellStyle name="40% - Accent5 2 2 2 5 3" xfId="6240" xr:uid="{00000000-0005-0000-0000-000054060000}"/>
    <cellStyle name="40% - Accent5 2 2 2 5 3 2" xfId="14690" xr:uid="{2E5FF443-87D9-417E-8480-048A8DBD87D1}"/>
    <cellStyle name="40% - Accent5 2 2 2 5 4" xfId="10472" xr:uid="{BFBB4639-2C18-4E47-A48E-71CC0532A096}"/>
    <cellStyle name="40% - Accent5 2 2 2 6" xfId="2347" xr:uid="{00000000-0005-0000-0000-000055060000}"/>
    <cellStyle name="40% - Accent5 2 2 2 6 2" xfId="6653" xr:uid="{00000000-0005-0000-0000-000056060000}"/>
    <cellStyle name="40% - Accent5 2 2 2 6 2 2" xfId="15103" xr:uid="{EED1F19C-88A1-40CD-A506-1E64F0D1A8E4}"/>
    <cellStyle name="40% - Accent5 2 2 2 6 3" xfId="10885" xr:uid="{02C7EED4-4F01-4C8F-A701-C682C2056E12}"/>
    <cellStyle name="40% - Accent5 2 2 2 7" xfId="4587" xr:uid="{00000000-0005-0000-0000-000057060000}"/>
    <cellStyle name="40% - Accent5 2 2 2 7 2" xfId="13037" xr:uid="{3A917188-F3DC-4684-8C4A-C20211D2850D}"/>
    <cellStyle name="40% - Accent5 2 2 2 8" xfId="8819" xr:uid="{3C0158BF-C3CD-4C05-B5F6-5C9CAD15811A}"/>
    <cellStyle name="40% - Accent5 2 2 3" xfId="652" xr:uid="{00000000-0005-0000-0000-000058060000}"/>
    <cellStyle name="40% - Accent5 2 2 3 2" xfId="2923" xr:uid="{00000000-0005-0000-0000-000059060000}"/>
    <cellStyle name="40% - Accent5 2 2 3 2 2" xfId="7145" xr:uid="{00000000-0005-0000-0000-00005A060000}"/>
    <cellStyle name="40% - Accent5 2 2 3 2 2 2" xfId="15595" xr:uid="{8F251B61-F85E-432E-BC27-96A9E1F4FABC}"/>
    <cellStyle name="40% - Accent5 2 2 3 2 3" xfId="11377" xr:uid="{D1DA0E60-0395-46D4-B45E-CF2EDCEFBB97}"/>
    <cellStyle name="40% - Accent5 2 2 3 3" xfId="5000" xr:uid="{00000000-0005-0000-0000-00005B060000}"/>
    <cellStyle name="40% - Accent5 2 2 3 3 2" xfId="13450" xr:uid="{43DE8519-7DD3-4BC7-B6CE-2B4F9EE50851}"/>
    <cellStyle name="40% - Accent5 2 2 3 4" xfId="9232" xr:uid="{2C4F3A02-51E6-4CAF-83D3-68EAAAEA0D89}"/>
    <cellStyle name="40% - Accent5 2 2 4" xfId="1105" xr:uid="{00000000-0005-0000-0000-00005C060000}"/>
    <cellStyle name="40% - Accent5 2 2 4 2" xfId="3336" xr:uid="{00000000-0005-0000-0000-00005D060000}"/>
    <cellStyle name="40% - Accent5 2 2 4 2 2" xfId="7558" xr:uid="{00000000-0005-0000-0000-00005E060000}"/>
    <cellStyle name="40% - Accent5 2 2 4 2 2 2" xfId="16008" xr:uid="{1D77D421-9D47-43C3-B121-37769CF31323}"/>
    <cellStyle name="40% - Accent5 2 2 4 2 3" xfId="11790" xr:uid="{F255CCB4-26FA-47AA-A765-074D636181CC}"/>
    <cellStyle name="40% - Accent5 2 2 4 3" xfId="5413" xr:uid="{00000000-0005-0000-0000-00005F060000}"/>
    <cellStyle name="40% - Accent5 2 2 4 3 2" xfId="13863" xr:uid="{1D931C3E-A84B-424F-AEB9-10CD75B0EDED}"/>
    <cellStyle name="40% - Accent5 2 2 4 4" xfId="9645" xr:uid="{B71D7E5B-1921-468A-AB7A-1A27755CC84C}"/>
    <cellStyle name="40% - Accent5 2 2 5" xfId="1519" xr:uid="{00000000-0005-0000-0000-000060060000}"/>
    <cellStyle name="40% - Accent5 2 2 5 2" xfId="3749" xr:uid="{00000000-0005-0000-0000-000061060000}"/>
    <cellStyle name="40% - Accent5 2 2 5 2 2" xfId="7971" xr:uid="{00000000-0005-0000-0000-000062060000}"/>
    <cellStyle name="40% - Accent5 2 2 5 2 2 2" xfId="16421" xr:uid="{C20AD453-7CCD-48E5-B78A-36DCD6207585}"/>
    <cellStyle name="40% - Accent5 2 2 5 2 3" xfId="12203" xr:uid="{35197CD1-2F5D-45DB-9252-0717AB035E74}"/>
    <cellStyle name="40% - Accent5 2 2 5 3" xfId="5826" xr:uid="{00000000-0005-0000-0000-000063060000}"/>
    <cellStyle name="40% - Accent5 2 2 5 3 2" xfId="14276" xr:uid="{04DAD0B1-BD10-4854-8695-209D2D6DD0F8}"/>
    <cellStyle name="40% - Accent5 2 2 5 4" xfId="10058" xr:uid="{A79E4D39-E0EB-4DFD-BB5D-E9CE1777C25B}"/>
    <cellStyle name="40% - Accent5 2 2 6" xfId="1933" xr:uid="{00000000-0005-0000-0000-000064060000}"/>
    <cellStyle name="40% - Accent5 2 2 6 2" xfId="4162" xr:uid="{00000000-0005-0000-0000-000065060000}"/>
    <cellStyle name="40% - Accent5 2 2 6 2 2" xfId="8384" xr:uid="{00000000-0005-0000-0000-000066060000}"/>
    <cellStyle name="40% - Accent5 2 2 6 2 2 2" xfId="16834" xr:uid="{9BF1152E-A57D-423F-8316-111692531C8B}"/>
    <cellStyle name="40% - Accent5 2 2 6 2 3" xfId="12616" xr:uid="{144FF62C-8FEB-4F4D-9BF9-DFA1C603C2AC}"/>
    <cellStyle name="40% - Accent5 2 2 6 3" xfId="6239" xr:uid="{00000000-0005-0000-0000-000067060000}"/>
    <cellStyle name="40% - Accent5 2 2 6 3 2" xfId="14689" xr:uid="{F7B581B9-AE77-425F-8E6B-051A04E0DFD4}"/>
    <cellStyle name="40% - Accent5 2 2 6 4" xfId="10471" xr:uid="{57FC80C0-1E15-450F-831D-2A95C3F3A073}"/>
    <cellStyle name="40% - Accent5 2 2 7" xfId="2346" xr:uid="{00000000-0005-0000-0000-000068060000}"/>
    <cellStyle name="40% - Accent5 2 2 7 2" xfId="6652" xr:uid="{00000000-0005-0000-0000-000069060000}"/>
    <cellStyle name="40% - Accent5 2 2 7 2 2" xfId="15102" xr:uid="{F8B48299-1807-4109-9343-DD49F41BAF2B}"/>
    <cellStyle name="40% - Accent5 2 2 7 3" xfId="10884" xr:uid="{FAF1FF08-4FA4-4DDB-979B-B1265B5F38C2}"/>
    <cellStyle name="40% - Accent5 2 2 8" xfId="4586" xr:uid="{00000000-0005-0000-0000-00006A060000}"/>
    <cellStyle name="40% - Accent5 2 2 8 2" xfId="13036" xr:uid="{AE02C6BC-1C19-403E-B6B3-D6EB4F565D6D}"/>
    <cellStyle name="40% - Accent5 2 2 9" xfId="8818" xr:uid="{E71B3C2D-09A6-4673-AFFF-4424D559D15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2 2 2" xfId="15597" xr:uid="{46673B96-9382-44B4-90B0-CEC3F4C3EFCD}"/>
    <cellStyle name="40% - Accent5 2 3 2 2 3" xfId="11379" xr:uid="{E94AC2E9-91AC-426C-878B-E5CF735884A7}"/>
    <cellStyle name="40% - Accent5 2 3 2 3" xfId="5002" xr:uid="{00000000-0005-0000-0000-00006F060000}"/>
    <cellStyle name="40% - Accent5 2 3 2 3 2" xfId="13452" xr:uid="{39CA734E-4A1E-45D3-8681-475FAE096423}"/>
    <cellStyle name="40% - Accent5 2 3 2 4" xfId="9234" xr:uid="{C5D03710-B1F0-4FDC-92C4-2BD91E29EF43}"/>
    <cellStyle name="40% - Accent5 2 3 3" xfId="1107" xr:uid="{00000000-0005-0000-0000-000070060000}"/>
    <cellStyle name="40% - Accent5 2 3 3 2" xfId="3338" xr:uid="{00000000-0005-0000-0000-000071060000}"/>
    <cellStyle name="40% - Accent5 2 3 3 2 2" xfId="7560" xr:uid="{00000000-0005-0000-0000-000072060000}"/>
    <cellStyle name="40% - Accent5 2 3 3 2 2 2" xfId="16010" xr:uid="{DEE5E4C9-509C-4F27-8B1B-38AC231E67B1}"/>
    <cellStyle name="40% - Accent5 2 3 3 2 3" xfId="11792" xr:uid="{F970725D-F3B1-4A85-946F-4AD475E65EE1}"/>
    <cellStyle name="40% - Accent5 2 3 3 3" xfId="5415" xr:uid="{00000000-0005-0000-0000-000073060000}"/>
    <cellStyle name="40% - Accent5 2 3 3 3 2" xfId="13865" xr:uid="{277C0929-10AB-4608-A462-CBAB27B3E2E8}"/>
    <cellStyle name="40% - Accent5 2 3 3 4" xfId="9647" xr:uid="{4C1A5EC7-272C-45ED-886D-F5C17441E994}"/>
    <cellStyle name="40% - Accent5 2 3 4" xfId="1521" xr:uid="{00000000-0005-0000-0000-000074060000}"/>
    <cellStyle name="40% - Accent5 2 3 4 2" xfId="3751" xr:uid="{00000000-0005-0000-0000-000075060000}"/>
    <cellStyle name="40% - Accent5 2 3 4 2 2" xfId="7973" xr:uid="{00000000-0005-0000-0000-000076060000}"/>
    <cellStyle name="40% - Accent5 2 3 4 2 2 2" xfId="16423" xr:uid="{64F381C2-BA9B-4686-A95C-A26F8E40E6E9}"/>
    <cellStyle name="40% - Accent5 2 3 4 2 3" xfId="12205" xr:uid="{E1720449-5F8A-4AC0-A170-9FBC0FE2FEBC}"/>
    <cellStyle name="40% - Accent5 2 3 4 3" xfId="5828" xr:uid="{00000000-0005-0000-0000-000077060000}"/>
    <cellStyle name="40% - Accent5 2 3 4 3 2" xfId="14278" xr:uid="{8B3A7E44-2BF5-42D3-B0A8-A3498EA44E07}"/>
    <cellStyle name="40% - Accent5 2 3 4 4" xfId="10060" xr:uid="{B869967D-52BB-4A59-820A-986843C9C507}"/>
    <cellStyle name="40% - Accent5 2 3 5" xfId="1935" xr:uid="{00000000-0005-0000-0000-000078060000}"/>
    <cellStyle name="40% - Accent5 2 3 5 2" xfId="4164" xr:uid="{00000000-0005-0000-0000-000079060000}"/>
    <cellStyle name="40% - Accent5 2 3 5 2 2" xfId="8386" xr:uid="{00000000-0005-0000-0000-00007A060000}"/>
    <cellStyle name="40% - Accent5 2 3 5 2 2 2" xfId="16836" xr:uid="{5B731701-AE5A-46FA-B50F-54E988327C22}"/>
    <cellStyle name="40% - Accent5 2 3 5 2 3" xfId="12618" xr:uid="{88038A5D-A166-406A-9909-115D31A0D3EB}"/>
    <cellStyle name="40% - Accent5 2 3 5 3" xfId="6241" xr:uid="{00000000-0005-0000-0000-00007B060000}"/>
    <cellStyle name="40% - Accent5 2 3 5 3 2" xfId="14691" xr:uid="{34A15A3E-5F9A-4D95-95D3-EF9985257EBC}"/>
    <cellStyle name="40% - Accent5 2 3 5 4" xfId="10473" xr:uid="{8ACC5C13-BFB0-4121-91B6-34BB56D5EEDD}"/>
    <cellStyle name="40% - Accent5 2 3 6" xfId="2348" xr:uid="{00000000-0005-0000-0000-00007C060000}"/>
    <cellStyle name="40% - Accent5 2 3 6 2" xfId="6654" xr:uid="{00000000-0005-0000-0000-00007D060000}"/>
    <cellStyle name="40% - Accent5 2 3 6 2 2" xfId="15104" xr:uid="{CCCCA64B-171F-4FA8-BEF8-7DC62AF845DF}"/>
    <cellStyle name="40% - Accent5 2 3 6 3" xfId="10886" xr:uid="{A77AD7B5-AFD7-48EE-A9F9-4219BECCDED0}"/>
    <cellStyle name="40% - Accent5 2 3 7" xfId="4588" xr:uid="{00000000-0005-0000-0000-00007E060000}"/>
    <cellStyle name="40% - Accent5 2 3 7 2" xfId="13038" xr:uid="{3F3F2DB9-210D-4A29-8773-5F3CD9062D8A}"/>
    <cellStyle name="40% - Accent5 2 3 8" xfId="8820" xr:uid="{B4F5F619-9650-4213-8B0B-570885B8416F}"/>
    <cellStyle name="40% - Accent5 2 4" xfId="651" xr:uid="{00000000-0005-0000-0000-00007F060000}"/>
    <cellStyle name="40% - Accent5 2 4 2" xfId="2922" xr:uid="{00000000-0005-0000-0000-000080060000}"/>
    <cellStyle name="40% - Accent5 2 4 2 2" xfId="7144" xr:uid="{00000000-0005-0000-0000-000081060000}"/>
    <cellStyle name="40% - Accent5 2 4 2 2 2" xfId="15594" xr:uid="{90F8D165-14C1-4BFE-8408-572C0503E8B7}"/>
    <cellStyle name="40% - Accent5 2 4 2 3" xfId="11376" xr:uid="{DEB4D145-DCC9-4230-9891-C51261B10EC6}"/>
    <cellStyle name="40% - Accent5 2 4 3" xfId="4999" xr:uid="{00000000-0005-0000-0000-000082060000}"/>
    <cellStyle name="40% - Accent5 2 4 3 2" xfId="13449" xr:uid="{8EFC37DB-38F7-4305-A855-21A5A45A9E55}"/>
    <cellStyle name="40% - Accent5 2 4 4" xfId="9231" xr:uid="{6FD31895-5FE8-43BA-B20B-7481D4A21CFE}"/>
    <cellStyle name="40% - Accent5 2 5" xfId="1104" xr:uid="{00000000-0005-0000-0000-000083060000}"/>
    <cellStyle name="40% - Accent5 2 5 2" xfId="3335" xr:uid="{00000000-0005-0000-0000-000084060000}"/>
    <cellStyle name="40% - Accent5 2 5 2 2" xfId="7557" xr:uid="{00000000-0005-0000-0000-000085060000}"/>
    <cellStyle name="40% - Accent5 2 5 2 2 2" xfId="16007" xr:uid="{B248143E-95BE-4035-8466-519A570C1D02}"/>
    <cellStyle name="40% - Accent5 2 5 2 3" xfId="11789" xr:uid="{5B39E2D3-E111-42BB-BE90-6CF68442ADF3}"/>
    <cellStyle name="40% - Accent5 2 5 3" xfId="5412" xr:uid="{00000000-0005-0000-0000-000086060000}"/>
    <cellStyle name="40% - Accent5 2 5 3 2" xfId="13862" xr:uid="{175E16B5-980D-4B70-8C7A-53D8FA038C1C}"/>
    <cellStyle name="40% - Accent5 2 5 4" xfId="9644" xr:uid="{E99F5D59-2B12-40AB-8282-51E0675C5B22}"/>
    <cellStyle name="40% - Accent5 2 6" xfId="1518" xr:uid="{00000000-0005-0000-0000-000087060000}"/>
    <cellStyle name="40% - Accent5 2 6 2" xfId="3748" xr:uid="{00000000-0005-0000-0000-000088060000}"/>
    <cellStyle name="40% - Accent5 2 6 2 2" xfId="7970" xr:uid="{00000000-0005-0000-0000-000089060000}"/>
    <cellStyle name="40% - Accent5 2 6 2 2 2" xfId="16420" xr:uid="{B184D16E-9A00-498A-9FE2-451A85216EF7}"/>
    <cellStyle name="40% - Accent5 2 6 2 3" xfId="12202" xr:uid="{2DBF58A6-034F-41D3-9AF7-57787A9C77EA}"/>
    <cellStyle name="40% - Accent5 2 6 3" xfId="5825" xr:uid="{00000000-0005-0000-0000-00008A060000}"/>
    <cellStyle name="40% - Accent5 2 6 3 2" xfId="14275" xr:uid="{E8BB03B6-90F2-4AD4-9CDC-FA30BBC41B8F}"/>
    <cellStyle name="40% - Accent5 2 6 4" xfId="10057" xr:uid="{00DC67E4-7D52-4B5B-B97A-C6A68D5EDA63}"/>
    <cellStyle name="40% - Accent5 2 7" xfId="1932" xr:uid="{00000000-0005-0000-0000-00008B060000}"/>
    <cellStyle name="40% - Accent5 2 7 2" xfId="4161" xr:uid="{00000000-0005-0000-0000-00008C060000}"/>
    <cellStyle name="40% - Accent5 2 7 2 2" xfId="8383" xr:uid="{00000000-0005-0000-0000-00008D060000}"/>
    <cellStyle name="40% - Accent5 2 7 2 2 2" xfId="16833" xr:uid="{55E998BF-4293-4302-A581-31914D34AE86}"/>
    <cellStyle name="40% - Accent5 2 7 2 3" xfId="12615" xr:uid="{C7DC837F-6DEA-45D3-8E32-88BFFDAC2AC4}"/>
    <cellStyle name="40% - Accent5 2 7 3" xfId="6238" xr:uid="{00000000-0005-0000-0000-00008E060000}"/>
    <cellStyle name="40% - Accent5 2 7 3 2" xfId="14688" xr:uid="{F50BBACA-7515-4357-93EA-C13E61F63326}"/>
    <cellStyle name="40% - Accent5 2 7 4" xfId="10470" xr:uid="{8CB8CF54-5471-48C4-B1AC-7DE6700D207D}"/>
    <cellStyle name="40% - Accent5 2 8" xfId="2345" xr:uid="{00000000-0005-0000-0000-00008F060000}"/>
    <cellStyle name="40% - Accent5 2 8 2" xfId="6651" xr:uid="{00000000-0005-0000-0000-000090060000}"/>
    <cellStyle name="40% - Accent5 2 8 2 2" xfId="15101" xr:uid="{47C90B1B-CDEE-48BF-9CC7-0AD09F473989}"/>
    <cellStyle name="40% - Accent5 2 8 3" xfId="10883" xr:uid="{28461325-C898-4097-9765-0E436AB73E1F}"/>
    <cellStyle name="40% - Accent5 2 9" xfId="4585" xr:uid="{00000000-0005-0000-0000-000091060000}"/>
    <cellStyle name="40% - Accent5 2 9 2" xfId="13035" xr:uid="{E3927774-0B00-4AD9-89D8-F66F9E79C53A}"/>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2 2 2" xfId="15599" xr:uid="{57090250-6572-4338-9DB9-258F05527D2E}"/>
    <cellStyle name="40% - Accent5 3 2 2 2 3" xfId="11381" xr:uid="{0D6622DA-940F-4482-BB08-48784A6397BE}"/>
    <cellStyle name="40% - Accent5 3 2 2 3" xfId="5004" xr:uid="{00000000-0005-0000-0000-000097060000}"/>
    <cellStyle name="40% - Accent5 3 2 2 3 2" xfId="13454" xr:uid="{CCF4062E-C98E-400D-9C99-ED1A75A3E176}"/>
    <cellStyle name="40% - Accent5 3 2 2 4" xfId="9236" xr:uid="{FC94395F-B510-43FF-B160-6C19EA6682CA}"/>
    <cellStyle name="40% - Accent5 3 2 3" xfId="1109" xr:uid="{00000000-0005-0000-0000-000098060000}"/>
    <cellStyle name="40% - Accent5 3 2 3 2" xfId="3340" xr:uid="{00000000-0005-0000-0000-000099060000}"/>
    <cellStyle name="40% - Accent5 3 2 3 2 2" xfId="7562" xr:uid="{00000000-0005-0000-0000-00009A060000}"/>
    <cellStyle name="40% - Accent5 3 2 3 2 2 2" xfId="16012" xr:uid="{9D1F9F9F-2796-4DFC-AABA-20159880D595}"/>
    <cellStyle name="40% - Accent5 3 2 3 2 3" xfId="11794" xr:uid="{00175726-A250-40AB-BABC-21AAA62EE8A8}"/>
    <cellStyle name="40% - Accent5 3 2 3 3" xfId="5417" xr:uid="{00000000-0005-0000-0000-00009B060000}"/>
    <cellStyle name="40% - Accent5 3 2 3 3 2" xfId="13867" xr:uid="{5141B7CD-0E2C-4D82-BDA8-5B0438EF1166}"/>
    <cellStyle name="40% - Accent5 3 2 3 4" xfId="9649" xr:uid="{C65757B7-CB90-43E4-8CB4-33307DFFBF73}"/>
    <cellStyle name="40% - Accent5 3 2 4" xfId="1523" xr:uid="{00000000-0005-0000-0000-00009C060000}"/>
    <cellStyle name="40% - Accent5 3 2 4 2" xfId="3753" xr:uid="{00000000-0005-0000-0000-00009D060000}"/>
    <cellStyle name="40% - Accent5 3 2 4 2 2" xfId="7975" xr:uid="{00000000-0005-0000-0000-00009E060000}"/>
    <cellStyle name="40% - Accent5 3 2 4 2 2 2" xfId="16425" xr:uid="{F8B0C044-D5F1-4315-8ED8-EBA204371061}"/>
    <cellStyle name="40% - Accent5 3 2 4 2 3" xfId="12207" xr:uid="{2B2B1F48-FCD7-4E48-BD02-AEE5BEF03538}"/>
    <cellStyle name="40% - Accent5 3 2 4 3" xfId="5830" xr:uid="{00000000-0005-0000-0000-00009F060000}"/>
    <cellStyle name="40% - Accent5 3 2 4 3 2" xfId="14280" xr:uid="{78994D8F-D238-4594-9B04-51FC0C8E0806}"/>
    <cellStyle name="40% - Accent5 3 2 4 4" xfId="10062" xr:uid="{EF3E6F52-7071-44C8-A368-C5C2DB5DE6F8}"/>
    <cellStyle name="40% - Accent5 3 2 5" xfId="1937" xr:uid="{00000000-0005-0000-0000-0000A0060000}"/>
    <cellStyle name="40% - Accent5 3 2 5 2" xfId="4166" xr:uid="{00000000-0005-0000-0000-0000A1060000}"/>
    <cellStyle name="40% - Accent5 3 2 5 2 2" xfId="8388" xr:uid="{00000000-0005-0000-0000-0000A2060000}"/>
    <cellStyle name="40% - Accent5 3 2 5 2 2 2" xfId="16838" xr:uid="{699473D5-32F6-43F7-A873-EB908853138E}"/>
    <cellStyle name="40% - Accent5 3 2 5 2 3" xfId="12620" xr:uid="{A9C1D8AB-F012-4B28-86B6-8E78549D072A}"/>
    <cellStyle name="40% - Accent5 3 2 5 3" xfId="6243" xr:uid="{00000000-0005-0000-0000-0000A3060000}"/>
    <cellStyle name="40% - Accent5 3 2 5 3 2" xfId="14693" xr:uid="{29518D0C-41BE-4705-826D-6E2F8510AA41}"/>
    <cellStyle name="40% - Accent5 3 2 5 4" xfId="10475" xr:uid="{7EFAA988-0D6B-47C0-B2DB-3593D1A2A147}"/>
    <cellStyle name="40% - Accent5 3 2 6" xfId="2350" xr:uid="{00000000-0005-0000-0000-0000A4060000}"/>
    <cellStyle name="40% - Accent5 3 2 6 2" xfId="6656" xr:uid="{00000000-0005-0000-0000-0000A5060000}"/>
    <cellStyle name="40% - Accent5 3 2 6 2 2" xfId="15106" xr:uid="{129C2D46-E24C-40C3-A306-5077C31700C3}"/>
    <cellStyle name="40% - Accent5 3 2 6 3" xfId="10888" xr:uid="{8323746E-4F47-4B83-BA49-D10BC31D70ED}"/>
    <cellStyle name="40% - Accent5 3 2 7" xfId="4590" xr:uid="{00000000-0005-0000-0000-0000A6060000}"/>
    <cellStyle name="40% - Accent5 3 2 7 2" xfId="13040" xr:uid="{6A1F3A58-D78B-4BB1-8F6B-CAB8B1B36061}"/>
    <cellStyle name="40% - Accent5 3 2 8" xfId="8822" xr:uid="{C3CF2E3D-7D67-4C81-A434-D7F9142733B0}"/>
    <cellStyle name="40% - Accent5 3 3" xfId="655" xr:uid="{00000000-0005-0000-0000-0000A7060000}"/>
    <cellStyle name="40% - Accent5 3 3 2" xfId="2926" xr:uid="{00000000-0005-0000-0000-0000A8060000}"/>
    <cellStyle name="40% - Accent5 3 3 2 2" xfId="7148" xr:uid="{00000000-0005-0000-0000-0000A9060000}"/>
    <cellStyle name="40% - Accent5 3 3 2 2 2" xfId="15598" xr:uid="{5524A67C-D8F9-4A08-9D47-8B626122525A}"/>
    <cellStyle name="40% - Accent5 3 3 2 3" xfId="11380" xr:uid="{BC88F7A6-F696-4162-95CC-91BC27AF7388}"/>
    <cellStyle name="40% - Accent5 3 3 3" xfId="5003" xr:uid="{00000000-0005-0000-0000-0000AA060000}"/>
    <cellStyle name="40% - Accent5 3 3 3 2" xfId="13453" xr:uid="{EDFECFB2-86A2-4E9F-9FD0-1B69ABFDB2F6}"/>
    <cellStyle name="40% - Accent5 3 3 4" xfId="9235" xr:uid="{802B2065-139E-47BA-B2AD-326D90C062F8}"/>
    <cellStyle name="40% - Accent5 3 4" xfId="1108" xr:uid="{00000000-0005-0000-0000-0000AB060000}"/>
    <cellStyle name="40% - Accent5 3 4 2" xfId="3339" xr:uid="{00000000-0005-0000-0000-0000AC060000}"/>
    <cellStyle name="40% - Accent5 3 4 2 2" xfId="7561" xr:uid="{00000000-0005-0000-0000-0000AD060000}"/>
    <cellStyle name="40% - Accent5 3 4 2 2 2" xfId="16011" xr:uid="{6BA09C13-9C00-4D2F-B741-FAB7E0B03C06}"/>
    <cellStyle name="40% - Accent5 3 4 2 3" xfId="11793" xr:uid="{AC1FF9B6-D259-4229-9B14-342DEA150208}"/>
    <cellStyle name="40% - Accent5 3 4 3" xfId="5416" xr:uid="{00000000-0005-0000-0000-0000AE060000}"/>
    <cellStyle name="40% - Accent5 3 4 3 2" xfId="13866" xr:uid="{E31CB14E-AACC-43C3-B781-0A193BB33133}"/>
    <cellStyle name="40% - Accent5 3 4 4" xfId="9648" xr:uid="{5904B568-073C-46ED-B10B-0C66931E1DAE}"/>
    <cellStyle name="40% - Accent5 3 5" xfId="1522" xr:uid="{00000000-0005-0000-0000-0000AF060000}"/>
    <cellStyle name="40% - Accent5 3 5 2" xfId="3752" xr:uid="{00000000-0005-0000-0000-0000B0060000}"/>
    <cellStyle name="40% - Accent5 3 5 2 2" xfId="7974" xr:uid="{00000000-0005-0000-0000-0000B1060000}"/>
    <cellStyle name="40% - Accent5 3 5 2 2 2" xfId="16424" xr:uid="{A52E46D2-CEB1-4FE0-BD14-F7914A323B34}"/>
    <cellStyle name="40% - Accent5 3 5 2 3" xfId="12206" xr:uid="{FEBFC9BF-A486-4FCC-A834-6733A502D087}"/>
    <cellStyle name="40% - Accent5 3 5 3" xfId="5829" xr:uid="{00000000-0005-0000-0000-0000B2060000}"/>
    <cellStyle name="40% - Accent5 3 5 3 2" xfId="14279" xr:uid="{48775906-CAD3-46B7-A905-BF311A51BAA4}"/>
    <cellStyle name="40% - Accent5 3 5 4" xfId="10061" xr:uid="{7E3FA7B1-620E-4570-B5EE-7B630B03BB1E}"/>
    <cellStyle name="40% - Accent5 3 6" xfId="1936" xr:uid="{00000000-0005-0000-0000-0000B3060000}"/>
    <cellStyle name="40% - Accent5 3 6 2" xfId="4165" xr:uid="{00000000-0005-0000-0000-0000B4060000}"/>
    <cellStyle name="40% - Accent5 3 6 2 2" xfId="8387" xr:uid="{00000000-0005-0000-0000-0000B5060000}"/>
    <cellStyle name="40% - Accent5 3 6 2 2 2" xfId="16837" xr:uid="{7B85B4A8-576B-4BA5-893C-FD8A669393EC}"/>
    <cellStyle name="40% - Accent5 3 6 2 3" xfId="12619" xr:uid="{D179AB9C-33B9-4961-8BCE-7126BA69A7E9}"/>
    <cellStyle name="40% - Accent5 3 6 3" xfId="6242" xr:uid="{00000000-0005-0000-0000-0000B6060000}"/>
    <cellStyle name="40% - Accent5 3 6 3 2" xfId="14692" xr:uid="{38C8A098-1A52-4A29-906C-17724BFFBB69}"/>
    <cellStyle name="40% - Accent5 3 6 4" xfId="10474" xr:uid="{786D47EC-4411-47BD-B73D-A4D8BD90D293}"/>
    <cellStyle name="40% - Accent5 3 7" xfId="2349" xr:uid="{00000000-0005-0000-0000-0000B7060000}"/>
    <cellStyle name="40% - Accent5 3 7 2" xfId="6655" xr:uid="{00000000-0005-0000-0000-0000B8060000}"/>
    <cellStyle name="40% - Accent5 3 7 2 2" xfId="15105" xr:uid="{E466114B-1B96-4EBF-B334-697C58428727}"/>
    <cellStyle name="40% - Accent5 3 7 3" xfId="10887" xr:uid="{0B605AB6-46CC-4C51-A44D-3F6BA0D1BC61}"/>
    <cellStyle name="40% - Accent5 3 8" xfId="4589" xr:uid="{00000000-0005-0000-0000-0000B9060000}"/>
    <cellStyle name="40% - Accent5 3 8 2" xfId="13039" xr:uid="{F39401EA-1BF9-4E7D-8BAF-6EFCE2A1B5F9}"/>
    <cellStyle name="40% - Accent5 3 9" xfId="8821" xr:uid="{ACEFD811-F8A5-454E-98FE-75050102EFE3}"/>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2 2 2" xfId="15600" xr:uid="{AA398795-AB5A-45C8-9C3B-2D9B82786A08}"/>
    <cellStyle name="40% - Accent5 4 2 2 3" xfId="11382" xr:uid="{37B25F19-904F-4716-896F-A69B1D4DDE06}"/>
    <cellStyle name="40% - Accent5 4 2 3" xfId="5005" xr:uid="{00000000-0005-0000-0000-0000BE060000}"/>
    <cellStyle name="40% - Accent5 4 2 3 2" xfId="13455" xr:uid="{C39179AE-A965-45BA-9FD1-96C2746B3728}"/>
    <cellStyle name="40% - Accent5 4 2 4" xfId="9237" xr:uid="{E503EAB6-8F1A-4AEB-9D94-9E5FFF49378D}"/>
    <cellStyle name="40% - Accent5 4 3" xfId="1110" xr:uid="{00000000-0005-0000-0000-0000BF060000}"/>
    <cellStyle name="40% - Accent5 4 3 2" xfId="3341" xr:uid="{00000000-0005-0000-0000-0000C0060000}"/>
    <cellStyle name="40% - Accent5 4 3 2 2" xfId="7563" xr:uid="{00000000-0005-0000-0000-0000C1060000}"/>
    <cellStyle name="40% - Accent5 4 3 2 2 2" xfId="16013" xr:uid="{B7A4E343-761E-4DBA-B233-0E80BC791E8B}"/>
    <cellStyle name="40% - Accent5 4 3 2 3" xfId="11795" xr:uid="{53DB24A5-E704-4A53-9AE9-A95B34D69E1C}"/>
    <cellStyle name="40% - Accent5 4 3 3" xfId="5418" xr:uid="{00000000-0005-0000-0000-0000C2060000}"/>
    <cellStyle name="40% - Accent5 4 3 3 2" xfId="13868" xr:uid="{3B7E7A62-A753-4892-AB24-07F79E8CAA61}"/>
    <cellStyle name="40% - Accent5 4 3 4" xfId="9650" xr:uid="{38D77E41-0836-43A3-B32C-825057C32833}"/>
    <cellStyle name="40% - Accent5 4 4" xfId="1524" xr:uid="{00000000-0005-0000-0000-0000C3060000}"/>
    <cellStyle name="40% - Accent5 4 4 2" xfId="3754" xr:uid="{00000000-0005-0000-0000-0000C4060000}"/>
    <cellStyle name="40% - Accent5 4 4 2 2" xfId="7976" xr:uid="{00000000-0005-0000-0000-0000C5060000}"/>
    <cellStyle name="40% - Accent5 4 4 2 2 2" xfId="16426" xr:uid="{BBB14ABA-06ED-49D3-B93E-E1A266B99C8C}"/>
    <cellStyle name="40% - Accent5 4 4 2 3" xfId="12208" xr:uid="{967BA68A-E25F-4669-B006-1FA9C5E4E52B}"/>
    <cellStyle name="40% - Accent5 4 4 3" xfId="5831" xr:uid="{00000000-0005-0000-0000-0000C6060000}"/>
    <cellStyle name="40% - Accent5 4 4 3 2" xfId="14281" xr:uid="{AB1E210D-44B7-4FDC-B0EE-588036277E53}"/>
    <cellStyle name="40% - Accent5 4 4 4" xfId="10063" xr:uid="{35BD1BD0-C55F-4623-9AC3-AC31A256DAD4}"/>
    <cellStyle name="40% - Accent5 4 5" xfId="1938" xr:uid="{00000000-0005-0000-0000-0000C7060000}"/>
    <cellStyle name="40% - Accent5 4 5 2" xfId="4167" xr:uid="{00000000-0005-0000-0000-0000C8060000}"/>
    <cellStyle name="40% - Accent5 4 5 2 2" xfId="8389" xr:uid="{00000000-0005-0000-0000-0000C9060000}"/>
    <cellStyle name="40% - Accent5 4 5 2 2 2" xfId="16839" xr:uid="{49F7E94C-B529-4CEB-B3D8-0A7894984C7A}"/>
    <cellStyle name="40% - Accent5 4 5 2 3" xfId="12621" xr:uid="{F0DD05DE-AE5B-478C-A9E7-D04DBD262725}"/>
    <cellStyle name="40% - Accent5 4 5 3" xfId="6244" xr:uid="{00000000-0005-0000-0000-0000CA060000}"/>
    <cellStyle name="40% - Accent5 4 5 3 2" xfId="14694" xr:uid="{E9177431-CCCB-4EEF-818E-9437319C61F1}"/>
    <cellStyle name="40% - Accent5 4 5 4" xfId="10476" xr:uid="{CB23DD5B-E6F2-454F-BB20-1F7011F2F871}"/>
    <cellStyle name="40% - Accent5 4 6" xfId="2351" xr:uid="{00000000-0005-0000-0000-0000CB060000}"/>
    <cellStyle name="40% - Accent5 4 6 2" xfId="6657" xr:uid="{00000000-0005-0000-0000-0000CC060000}"/>
    <cellStyle name="40% - Accent5 4 6 2 2" xfId="15107" xr:uid="{8B684199-71B8-413F-9E4E-D71E1D201321}"/>
    <cellStyle name="40% - Accent5 4 6 3" xfId="10889" xr:uid="{DF39D44D-807A-4DBC-A304-0ED06A12E532}"/>
    <cellStyle name="40% - Accent5 4 7" xfId="4591" xr:uid="{00000000-0005-0000-0000-0000CD060000}"/>
    <cellStyle name="40% - Accent5 4 7 2" xfId="13041" xr:uid="{05481E2D-5C1A-4D94-88C6-9040BE2BCB8F}"/>
    <cellStyle name="40% - Accent5 4 8" xfId="8823" xr:uid="{BB9D749E-2141-4D81-B572-91251752EEF9}"/>
    <cellStyle name="40% - Accent5 5" xfId="650" xr:uid="{00000000-0005-0000-0000-0000CE060000}"/>
    <cellStyle name="40% - Accent5 5 2" xfId="2921" xr:uid="{00000000-0005-0000-0000-0000CF060000}"/>
    <cellStyle name="40% - Accent5 5 2 2" xfId="7143" xr:uid="{00000000-0005-0000-0000-0000D0060000}"/>
    <cellStyle name="40% - Accent5 5 2 2 2" xfId="15593" xr:uid="{A4902EC1-C64C-4F5F-A73C-B519C0A7CA22}"/>
    <cellStyle name="40% - Accent5 5 2 3" xfId="11375" xr:uid="{DE493CD4-35E5-494E-830B-B8C575EE2F62}"/>
    <cellStyle name="40% - Accent5 5 3" xfId="4998" xr:uid="{00000000-0005-0000-0000-0000D1060000}"/>
    <cellStyle name="40% - Accent5 5 3 2" xfId="13448" xr:uid="{0D879083-997B-4079-B374-1DF3536DF29F}"/>
    <cellStyle name="40% - Accent5 5 4" xfId="9230" xr:uid="{C4417C53-C466-44FA-8B7A-3B1C5A6439C8}"/>
    <cellStyle name="40% - Accent5 6" xfId="1103" xr:uid="{00000000-0005-0000-0000-0000D2060000}"/>
    <cellStyle name="40% - Accent5 6 2" xfId="3334" xr:uid="{00000000-0005-0000-0000-0000D3060000}"/>
    <cellStyle name="40% - Accent5 6 2 2" xfId="7556" xr:uid="{00000000-0005-0000-0000-0000D4060000}"/>
    <cellStyle name="40% - Accent5 6 2 2 2" xfId="16006" xr:uid="{D2F6D594-FE0E-456D-B133-C4991888638C}"/>
    <cellStyle name="40% - Accent5 6 2 3" xfId="11788" xr:uid="{4BEAE048-169D-4A6A-ACCA-4F14EB647244}"/>
    <cellStyle name="40% - Accent5 6 3" xfId="5411" xr:uid="{00000000-0005-0000-0000-0000D5060000}"/>
    <cellStyle name="40% - Accent5 6 3 2" xfId="13861" xr:uid="{E1AE002D-CF2E-456C-894F-B884B40C2744}"/>
    <cellStyle name="40% - Accent5 6 4" xfId="9643" xr:uid="{64519742-83B8-4364-BF79-F84682037F57}"/>
    <cellStyle name="40% - Accent5 7" xfId="1517" xr:uid="{00000000-0005-0000-0000-0000D6060000}"/>
    <cellStyle name="40% - Accent5 7 2" xfId="3747" xr:uid="{00000000-0005-0000-0000-0000D7060000}"/>
    <cellStyle name="40% - Accent5 7 2 2" xfId="7969" xr:uid="{00000000-0005-0000-0000-0000D8060000}"/>
    <cellStyle name="40% - Accent5 7 2 2 2" xfId="16419" xr:uid="{C2DA02F2-77DD-4469-ADC6-00E74114627F}"/>
    <cellStyle name="40% - Accent5 7 2 3" xfId="12201" xr:uid="{D6DE9C71-F036-4C45-B671-96995B506B01}"/>
    <cellStyle name="40% - Accent5 7 3" xfId="5824" xr:uid="{00000000-0005-0000-0000-0000D9060000}"/>
    <cellStyle name="40% - Accent5 7 3 2" xfId="14274" xr:uid="{D2CEE9F8-3BD5-4357-8845-CA0BD256E3A5}"/>
    <cellStyle name="40% - Accent5 7 4" xfId="10056" xr:uid="{F5CC861F-E517-4BEE-9D29-61B5502DA747}"/>
    <cellStyle name="40% - Accent5 8" xfId="1931" xr:uid="{00000000-0005-0000-0000-0000DA060000}"/>
    <cellStyle name="40% - Accent5 8 2" xfId="4160" xr:uid="{00000000-0005-0000-0000-0000DB060000}"/>
    <cellStyle name="40% - Accent5 8 2 2" xfId="8382" xr:uid="{00000000-0005-0000-0000-0000DC060000}"/>
    <cellStyle name="40% - Accent5 8 2 2 2" xfId="16832" xr:uid="{4E109A28-71BC-4477-954B-D201D2A634DC}"/>
    <cellStyle name="40% - Accent5 8 2 3" xfId="12614" xr:uid="{CA38086F-159A-4950-82B7-971AC1D9B8DF}"/>
    <cellStyle name="40% - Accent5 8 3" xfId="6237" xr:uid="{00000000-0005-0000-0000-0000DD060000}"/>
    <cellStyle name="40% - Accent5 8 3 2" xfId="14687" xr:uid="{C7E41878-BF82-4C42-84BE-66D7A8626DAE}"/>
    <cellStyle name="40% - Accent5 8 4" xfId="10469" xr:uid="{0E7DA2AF-375A-44C3-A1ED-19C95D1885FC}"/>
    <cellStyle name="40% - Accent5 9" xfId="2344" xr:uid="{00000000-0005-0000-0000-0000DE060000}"/>
    <cellStyle name="40% - Accent5 9 2" xfId="6650" xr:uid="{00000000-0005-0000-0000-0000DF060000}"/>
    <cellStyle name="40% - Accent5 9 2 2" xfId="15100" xr:uid="{E61FFDCD-DAC0-460C-BF94-8C7C82CD2E45}"/>
    <cellStyle name="40% - Accent5 9 3" xfId="10882" xr:uid="{AB60DF3B-9830-4DC1-B86B-8DD570152D71}"/>
    <cellStyle name="40% - Accent6" xfId="89" builtinId="51" customBuiltin="1"/>
    <cellStyle name="40% - Accent6 10" xfId="4592" xr:uid="{00000000-0005-0000-0000-0000E1060000}"/>
    <cellStyle name="40% - Accent6 10 2" xfId="13042" xr:uid="{31969882-0D28-428C-A726-CE89DF90577C}"/>
    <cellStyle name="40% - Accent6 11" xfId="8824" xr:uid="{A205E7B7-266C-4423-86A7-B04DB815EFC2}"/>
    <cellStyle name="40% - Accent6 2" xfId="90" xr:uid="{00000000-0005-0000-0000-0000E2060000}"/>
    <cellStyle name="40% - Accent6 2 10" xfId="8825" xr:uid="{1A08A322-2F01-48BD-A779-E74CCC346332}"/>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2 2 2" xfId="15604" xr:uid="{7232747E-0A4B-493D-86E1-1B5176A4E68E}"/>
    <cellStyle name="40% - Accent6 2 2 2 2 2 3" xfId="11386" xr:uid="{F94585A0-451B-44E7-B935-FFB16AC7A6C1}"/>
    <cellStyle name="40% - Accent6 2 2 2 2 3" xfId="5009" xr:uid="{00000000-0005-0000-0000-0000E8060000}"/>
    <cellStyle name="40% - Accent6 2 2 2 2 3 2" xfId="13459" xr:uid="{2392EE20-8D73-4F01-A13A-ADC159AE5A30}"/>
    <cellStyle name="40% - Accent6 2 2 2 2 4" xfId="9241" xr:uid="{7F2B819A-B4DB-44F4-9784-CB9AA41C930A}"/>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2 2 2" xfId="16017" xr:uid="{94ACDB7D-5C97-4358-B088-B0449A3D2E8A}"/>
    <cellStyle name="40% - Accent6 2 2 2 3 2 3" xfId="11799" xr:uid="{87F40FAB-5771-4204-BCF1-C0EDA9AD90C1}"/>
    <cellStyle name="40% - Accent6 2 2 2 3 3" xfId="5422" xr:uid="{00000000-0005-0000-0000-0000EC060000}"/>
    <cellStyle name="40% - Accent6 2 2 2 3 3 2" xfId="13872" xr:uid="{F1DD719D-0087-47F7-8CBB-5D81CC050883}"/>
    <cellStyle name="40% - Accent6 2 2 2 3 4" xfId="9654" xr:uid="{6ECDBA0E-C152-4EEA-AA71-B303C4B50605}"/>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2 2 2" xfId="16430" xr:uid="{5F81F1B8-97B8-464D-A3DA-9C013617F403}"/>
    <cellStyle name="40% - Accent6 2 2 2 4 2 3" xfId="12212" xr:uid="{E327DECE-64EF-4D0F-8889-2B66D7E25C32}"/>
    <cellStyle name="40% - Accent6 2 2 2 4 3" xfId="5835" xr:uid="{00000000-0005-0000-0000-0000F0060000}"/>
    <cellStyle name="40% - Accent6 2 2 2 4 3 2" xfId="14285" xr:uid="{F74B0747-8366-4434-8EEA-0BB8A7E0D8BF}"/>
    <cellStyle name="40% - Accent6 2 2 2 4 4" xfId="10067" xr:uid="{16BA2C94-23CC-448A-B223-2AC8CE67010B}"/>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2 2 2" xfId="16843" xr:uid="{07884672-BE2B-4375-B30D-0F2B0A2B39C0}"/>
    <cellStyle name="40% - Accent6 2 2 2 5 2 3" xfId="12625" xr:uid="{1C46F376-FAE6-4255-AD7B-71794BBD26CC}"/>
    <cellStyle name="40% - Accent6 2 2 2 5 3" xfId="6248" xr:uid="{00000000-0005-0000-0000-0000F4060000}"/>
    <cellStyle name="40% - Accent6 2 2 2 5 3 2" xfId="14698" xr:uid="{DB40BA8C-A18C-428A-8C95-4D9D83754834}"/>
    <cellStyle name="40% - Accent6 2 2 2 5 4" xfId="10480" xr:uid="{EFC67121-CCA7-4145-AEF6-E92F00560F2D}"/>
    <cellStyle name="40% - Accent6 2 2 2 6" xfId="2355" xr:uid="{00000000-0005-0000-0000-0000F5060000}"/>
    <cellStyle name="40% - Accent6 2 2 2 6 2" xfId="6661" xr:uid="{00000000-0005-0000-0000-0000F6060000}"/>
    <cellStyle name="40% - Accent6 2 2 2 6 2 2" xfId="15111" xr:uid="{371716C6-58DB-40D6-8076-DBF9AF79C080}"/>
    <cellStyle name="40% - Accent6 2 2 2 6 3" xfId="10893" xr:uid="{3D884E6F-37A2-4B62-8880-52D098C705B8}"/>
    <cellStyle name="40% - Accent6 2 2 2 7" xfId="4595" xr:uid="{00000000-0005-0000-0000-0000F7060000}"/>
    <cellStyle name="40% - Accent6 2 2 2 7 2" xfId="13045" xr:uid="{4478F4CB-BD05-46CD-A0FA-A39CE202B5DE}"/>
    <cellStyle name="40% - Accent6 2 2 2 8" xfId="8827" xr:uid="{30071C9D-071D-4670-88E4-D88E4FB2B069}"/>
    <cellStyle name="40% - Accent6 2 2 3" xfId="660" xr:uid="{00000000-0005-0000-0000-0000F8060000}"/>
    <cellStyle name="40% - Accent6 2 2 3 2" xfId="2931" xr:uid="{00000000-0005-0000-0000-0000F9060000}"/>
    <cellStyle name="40% - Accent6 2 2 3 2 2" xfId="7153" xr:uid="{00000000-0005-0000-0000-0000FA060000}"/>
    <cellStyle name="40% - Accent6 2 2 3 2 2 2" xfId="15603" xr:uid="{663DA630-2F99-4586-B745-BDDD8FC3A77A}"/>
    <cellStyle name="40% - Accent6 2 2 3 2 3" xfId="11385" xr:uid="{E6C796DF-9B05-4A12-AB12-CE7520A3A054}"/>
    <cellStyle name="40% - Accent6 2 2 3 3" xfId="5008" xr:uid="{00000000-0005-0000-0000-0000FB060000}"/>
    <cellStyle name="40% - Accent6 2 2 3 3 2" xfId="13458" xr:uid="{2FD47E01-050C-471C-B6F9-90E1FA8BDB04}"/>
    <cellStyle name="40% - Accent6 2 2 3 4" xfId="9240" xr:uid="{6019D393-994C-48CC-BE2B-4280EF664A4C}"/>
    <cellStyle name="40% - Accent6 2 2 4" xfId="1113" xr:uid="{00000000-0005-0000-0000-0000FC060000}"/>
    <cellStyle name="40% - Accent6 2 2 4 2" xfId="3344" xr:uid="{00000000-0005-0000-0000-0000FD060000}"/>
    <cellStyle name="40% - Accent6 2 2 4 2 2" xfId="7566" xr:uid="{00000000-0005-0000-0000-0000FE060000}"/>
    <cellStyle name="40% - Accent6 2 2 4 2 2 2" xfId="16016" xr:uid="{B2F6E36C-0129-4FBD-960E-1BB6E50853F8}"/>
    <cellStyle name="40% - Accent6 2 2 4 2 3" xfId="11798" xr:uid="{1AAE8EB7-790F-4B88-B736-970687E929C8}"/>
    <cellStyle name="40% - Accent6 2 2 4 3" xfId="5421" xr:uid="{00000000-0005-0000-0000-0000FF060000}"/>
    <cellStyle name="40% - Accent6 2 2 4 3 2" xfId="13871" xr:uid="{49559B6E-99F8-4369-9023-E5F3716C039E}"/>
    <cellStyle name="40% - Accent6 2 2 4 4" xfId="9653" xr:uid="{67AE7C22-EC7D-460A-B017-700E179B80B4}"/>
    <cellStyle name="40% - Accent6 2 2 5" xfId="1527" xr:uid="{00000000-0005-0000-0000-000000070000}"/>
    <cellStyle name="40% - Accent6 2 2 5 2" xfId="3757" xr:uid="{00000000-0005-0000-0000-000001070000}"/>
    <cellStyle name="40% - Accent6 2 2 5 2 2" xfId="7979" xr:uid="{00000000-0005-0000-0000-000002070000}"/>
    <cellStyle name="40% - Accent6 2 2 5 2 2 2" xfId="16429" xr:uid="{E2D3BA0B-B1A2-4A2E-914C-231FFAB1D3D8}"/>
    <cellStyle name="40% - Accent6 2 2 5 2 3" xfId="12211" xr:uid="{E0BB8809-17F3-42CA-83B5-88553D1A7820}"/>
    <cellStyle name="40% - Accent6 2 2 5 3" xfId="5834" xr:uid="{00000000-0005-0000-0000-000003070000}"/>
    <cellStyle name="40% - Accent6 2 2 5 3 2" xfId="14284" xr:uid="{32D2DD90-AC14-494D-AD0C-6F743652B27E}"/>
    <cellStyle name="40% - Accent6 2 2 5 4" xfId="10066" xr:uid="{FDA1A7E3-E635-495A-8435-1AD157EE5F6B}"/>
    <cellStyle name="40% - Accent6 2 2 6" xfId="1941" xr:uid="{00000000-0005-0000-0000-000004070000}"/>
    <cellStyle name="40% - Accent6 2 2 6 2" xfId="4170" xr:uid="{00000000-0005-0000-0000-000005070000}"/>
    <cellStyle name="40% - Accent6 2 2 6 2 2" xfId="8392" xr:uid="{00000000-0005-0000-0000-000006070000}"/>
    <cellStyle name="40% - Accent6 2 2 6 2 2 2" xfId="16842" xr:uid="{AA419191-19B1-48C7-AACA-600921B01EF6}"/>
    <cellStyle name="40% - Accent6 2 2 6 2 3" xfId="12624" xr:uid="{415AAA0C-152A-4E59-BF9C-23F81CBDED94}"/>
    <cellStyle name="40% - Accent6 2 2 6 3" xfId="6247" xr:uid="{00000000-0005-0000-0000-000007070000}"/>
    <cellStyle name="40% - Accent6 2 2 6 3 2" xfId="14697" xr:uid="{9A16CE6D-C0B6-4C17-876A-BADCFFF5BDA0}"/>
    <cellStyle name="40% - Accent6 2 2 6 4" xfId="10479" xr:uid="{452E1A59-F661-417C-A4F1-FFDA37AB24F0}"/>
    <cellStyle name="40% - Accent6 2 2 7" xfId="2354" xr:uid="{00000000-0005-0000-0000-000008070000}"/>
    <cellStyle name="40% - Accent6 2 2 7 2" xfId="6660" xr:uid="{00000000-0005-0000-0000-000009070000}"/>
    <cellStyle name="40% - Accent6 2 2 7 2 2" xfId="15110" xr:uid="{38FCB7D6-7454-4E09-8A23-F72F723C1F5E}"/>
    <cellStyle name="40% - Accent6 2 2 7 3" xfId="10892" xr:uid="{E9C792B7-5B2C-4954-BA2C-42B0351F90FC}"/>
    <cellStyle name="40% - Accent6 2 2 8" xfId="4594" xr:uid="{00000000-0005-0000-0000-00000A070000}"/>
    <cellStyle name="40% - Accent6 2 2 8 2" xfId="13044" xr:uid="{BDA26C00-02AA-418C-8E28-EC6B991D2B32}"/>
    <cellStyle name="40% - Accent6 2 2 9" xfId="8826" xr:uid="{FF325A61-F201-49D5-A354-C1828FAB4CAB}"/>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2 2 2" xfId="15605" xr:uid="{245B1977-4EC5-4099-BE8B-D1BEEC64DA12}"/>
    <cellStyle name="40% - Accent6 2 3 2 2 3" xfId="11387" xr:uid="{2E94AE03-8EE1-4B43-9A39-845FD0A537F5}"/>
    <cellStyle name="40% - Accent6 2 3 2 3" xfId="5010" xr:uid="{00000000-0005-0000-0000-00000F070000}"/>
    <cellStyle name="40% - Accent6 2 3 2 3 2" xfId="13460" xr:uid="{57EF0C8C-052D-4667-A64D-0E3A181B3FD6}"/>
    <cellStyle name="40% - Accent6 2 3 2 4" xfId="9242" xr:uid="{37E3FBEA-AFEB-4EEA-BC6D-E1111491142A}"/>
    <cellStyle name="40% - Accent6 2 3 3" xfId="1115" xr:uid="{00000000-0005-0000-0000-000010070000}"/>
    <cellStyle name="40% - Accent6 2 3 3 2" xfId="3346" xr:uid="{00000000-0005-0000-0000-000011070000}"/>
    <cellStyle name="40% - Accent6 2 3 3 2 2" xfId="7568" xr:uid="{00000000-0005-0000-0000-000012070000}"/>
    <cellStyle name="40% - Accent6 2 3 3 2 2 2" xfId="16018" xr:uid="{51625C23-0565-4362-BDBE-F1F2A8410A07}"/>
    <cellStyle name="40% - Accent6 2 3 3 2 3" xfId="11800" xr:uid="{ADCCAAB2-B322-4315-AA37-B48976B9E331}"/>
    <cellStyle name="40% - Accent6 2 3 3 3" xfId="5423" xr:uid="{00000000-0005-0000-0000-000013070000}"/>
    <cellStyle name="40% - Accent6 2 3 3 3 2" xfId="13873" xr:uid="{4D680FF3-BD94-48E3-8DCE-A7063553FB98}"/>
    <cellStyle name="40% - Accent6 2 3 3 4" xfId="9655" xr:uid="{A8AC8A4B-DB52-4CEF-8FDA-143D1AEE4852}"/>
    <cellStyle name="40% - Accent6 2 3 4" xfId="1529" xr:uid="{00000000-0005-0000-0000-000014070000}"/>
    <cellStyle name="40% - Accent6 2 3 4 2" xfId="3759" xr:uid="{00000000-0005-0000-0000-000015070000}"/>
    <cellStyle name="40% - Accent6 2 3 4 2 2" xfId="7981" xr:uid="{00000000-0005-0000-0000-000016070000}"/>
    <cellStyle name="40% - Accent6 2 3 4 2 2 2" xfId="16431" xr:uid="{44A88040-B2B8-46F8-B503-A3ADD52BA974}"/>
    <cellStyle name="40% - Accent6 2 3 4 2 3" xfId="12213" xr:uid="{9A8A70E0-5165-451D-A43D-D1C3973E05F4}"/>
    <cellStyle name="40% - Accent6 2 3 4 3" xfId="5836" xr:uid="{00000000-0005-0000-0000-000017070000}"/>
    <cellStyle name="40% - Accent6 2 3 4 3 2" xfId="14286" xr:uid="{518A52C3-E935-471C-A6C3-7279E61575DE}"/>
    <cellStyle name="40% - Accent6 2 3 4 4" xfId="10068" xr:uid="{01A341EB-4A80-4FE0-9476-B93487F7B257}"/>
    <cellStyle name="40% - Accent6 2 3 5" xfId="1943" xr:uid="{00000000-0005-0000-0000-000018070000}"/>
    <cellStyle name="40% - Accent6 2 3 5 2" xfId="4172" xr:uid="{00000000-0005-0000-0000-000019070000}"/>
    <cellStyle name="40% - Accent6 2 3 5 2 2" xfId="8394" xr:uid="{00000000-0005-0000-0000-00001A070000}"/>
    <cellStyle name="40% - Accent6 2 3 5 2 2 2" xfId="16844" xr:uid="{2C4623D0-A497-4BE2-8A98-2A4529368A13}"/>
    <cellStyle name="40% - Accent6 2 3 5 2 3" xfId="12626" xr:uid="{FC574644-9A41-43D9-BA4A-6FD9F261A6FB}"/>
    <cellStyle name="40% - Accent6 2 3 5 3" xfId="6249" xr:uid="{00000000-0005-0000-0000-00001B070000}"/>
    <cellStyle name="40% - Accent6 2 3 5 3 2" xfId="14699" xr:uid="{858C1F0A-F83F-439C-918E-AF3AD0EF9F60}"/>
    <cellStyle name="40% - Accent6 2 3 5 4" xfId="10481" xr:uid="{2FA60789-13AC-4D61-8AA7-1E9354CA84D2}"/>
    <cellStyle name="40% - Accent6 2 3 6" xfId="2356" xr:uid="{00000000-0005-0000-0000-00001C070000}"/>
    <cellStyle name="40% - Accent6 2 3 6 2" xfId="6662" xr:uid="{00000000-0005-0000-0000-00001D070000}"/>
    <cellStyle name="40% - Accent6 2 3 6 2 2" xfId="15112" xr:uid="{9F66288F-25A5-4896-885C-8DF938F0BE70}"/>
    <cellStyle name="40% - Accent6 2 3 6 3" xfId="10894" xr:uid="{4F80C2AF-E92B-4BED-838E-C1A80D6AB120}"/>
    <cellStyle name="40% - Accent6 2 3 7" xfId="4596" xr:uid="{00000000-0005-0000-0000-00001E070000}"/>
    <cellStyle name="40% - Accent6 2 3 7 2" xfId="13046" xr:uid="{DD2A60DA-F97C-4584-92BC-6EA09C814EF1}"/>
    <cellStyle name="40% - Accent6 2 3 8" xfId="8828" xr:uid="{3CC0679A-C59F-4855-A229-E856BE5FE3E0}"/>
    <cellStyle name="40% - Accent6 2 4" xfId="659" xr:uid="{00000000-0005-0000-0000-00001F070000}"/>
    <cellStyle name="40% - Accent6 2 4 2" xfId="2930" xr:uid="{00000000-0005-0000-0000-000020070000}"/>
    <cellStyle name="40% - Accent6 2 4 2 2" xfId="7152" xr:uid="{00000000-0005-0000-0000-000021070000}"/>
    <cellStyle name="40% - Accent6 2 4 2 2 2" xfId="15602" xr:uid="{F6A5EBEE-5FD6-4340-AD2A-8AD474C55339}"/>
    <cellStyle name="40% - Accent6 2 4 2 3" xfId="11384" xr:uid="{E2E575C1-560C-4D6F-850D-266BCD122014}"/>
    <cellStyle name="40% - Accent6 2 4 3" xfId="5007" xr:uid="{00000000-0005-0000-0000-000022070000}"/>
    <cellStyle name="40% - Accent6 2 4 3 2" xfId="13457" xr:uid="{815C462D-C7D9-4259-B85C-83FB2DF140AC}"/>
    <cellStyle name="40% - Accent6 2 4 4" xfId="9239" xr:uid="{7914539B-53B7-4F9F-A4E5-3DEBBB2671CA}"/>
    <cellStyle name="40% - Accent6 2 5" xfId="1112" xr:uid="{00000000-0005-0000-0000-000023070000}"/>
    <cellStyle name="40% - Accent6 2 5 2" xfId="3343" xr:uid="{00000000-0005-0000-0000-000024070000}"/>
    <cellStyle name="40% - Accent6 2 5 2 2" xfId="7565" xr:uid="{00000000-0005-0000-0000-000025070000}"/>
    <cellStyle name="40% - Accent6 2 5 2 2 2" xfId="16015" xr:uid="{E12CBE3D-1C82-4514-8742-74C7EDBECF82}"/>
    <cellStyle name="40% - Accent6 2 5 2 3" xfId="11797" xr:uid="{5AE4F5E2-259D-4456-AB5E-1404B7813BA2}"/>
    <cellStyle name="40% - Accent6 2 5 3" xfId="5420" xr:uid="{00000000-0005-0000-0000-000026070000}"/>
    <cellStyle name="40% - Accent6 2 5 3 2" xfId="13870" xr:uid="{E6219DE1-2403-4D59-9FA0-A03E1DA511AC}"/>
    <cellStyle name="40% - Accent6 2 5 4" xfId="9652" xr:uid="{790B3A90-74E8-4CE9-B907-A407A616DD22}"/>
    <cellStyle name="40% - Accent6 2 6" xfId="1526" xr:uid="{00000000-0005-0000-0000-000027070000}"/>
    <cellStyle name="40% - Accent6 2 6 2" xfId="3756" xr:uid="{00000000-0005-0000-0000-000028070000}"/>
    <cellStyle name="40% - Accent6 2 6 2 2" xfId="7978" xr:uid="{00000000-0005-0000-0000-000029070000}"/>
    <cellStyle name="40% - Accent6 2 6 2 2 2" xfId="16428" xr:uid="{B7E6249B-4400-42F0-A57C-C9FCA91C021D}"/>
    <cellStyle name="40% - Accent6 2 6 2 3" xfId="12210" xr:uid="{0592DDC8-ABC9-484B-A173-AF8943C4E85B}"/>
    <cellStyle name="40% - Accent6 2 6 3" xfId="5833" xr:uid="{00000000-0005-0000-0000-00002A070000}"/>
    <cellStyle name="40% - Accent6 2 6 3 2" xfId="14283" xr:uid="{9A5F1C6B-6904-4219-886A-B6A387173AA6}"/>
    <cellStyle name="40% - Accent6 2 6 4" xfId="10065" xr:uid="{6779DD34-0BD9-4151-BE2E-D21661878E06}"/>
    <cellStyle name="40% - Accent6 2 7" xfId="1940" xr:uid="{00000000-0005-0000-0000-00002B070000}"/>
    <cellStyle name="40% - Accent6 2 7 2" xfId="4169" xr:uid="{00000000-0005-0000-0000-00002C070000}"/>
    <cellStyle name="40% - Accent6 2 7 2 2" xfId="8391" xr:uid="{00000000-0005-0000-0000-00002D070000}"/>
    <cellStyle name="40% - Accent6 2 7 2 2 2" xfId="16841" xr:uid="{55F59F1E-170C-4439-AB50-5D3F0DA3C427}"/>
    <cellStyle name="40% - Accent6 2 7 2 3" xfId="12623" xr:uid="{AD4CD2A4-7831-415A-BAC5-76B6DAB77C22}"/>
    <cellStyle name="40% - Accent6 2 7 3" xfId="6246" xr:uid="{00000000-0005-0000-0000-00002E070000}"/>
    <cellStyle name="40% - Accent6 2 7 3 2" xfId="14696" xr:uid="{F057DFF9-BB34-4ECF-A39F-612CB082569D}"/>
    <cellStyle name="40% - Accent6 2 7 4" xfId="10478" xr:uid="{CC5D3F5E-438E-4CB7-B174-F1EDA8010809}"/>
    <cellStyle name="40% - Accent6 2 8" xfId="2353" xr:uid="{00000000-0005-0000-0000-00002F070000}"/>
    <cellStyle name="40% - Accent6 2 8 2" xfId="6659" xr:uid="{00000000-0005-0000-0000-000030070000}"/>
    <cellStyle name="40% - Accent6 2 8 2 2" xfId="15109" xr:uid="{68730E42-4688-4A5F-86D8-0CF8706FF6DA}"/>
    <cellStyle name="40% - Accent6 2 8 3" xfId="10891" xr:uid="{0D7A9A3E-889F-430B-8F75-21E30A83667C}"/>
    <cellStyle name="40% - Accent6 2 9" xfId="4593" xr:uid="{00000000-0005-0000-0000-000031070000}"/>
    <cellStyle name="40% - Accent6 2 9 2" xfId="13043" xr:uid="{32B0DC1B-17D8-4837-BB41-07551FF6C1D7}"/>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2 2 2" xfId="15607" xr:uid="{E6533C80-7BDD-40C6-AC59-14B06F56AE31}"/>
    <cellStyle name="40% - Accent6 3 2 2 2 3" xfId="11389" xr:uid="{05A11C10-BB4A-41FE-B547-E0EA36DBF15F}"/>
    <cellStyle name="40% - Accent6 3 2 2 3" xfId="5012" xr:uid="{00000000-0005-0000-0000-000037070000}"/>
    <cellStyle name="40% - Accent6 3 2 2 3 2" xfId="13462" xr:uid="{F0993504-2EC6-49F6-A886-B4AB75846400}"/>
    <cellStyle name="40% - Accent6 3 2 2 4" xfId="9244" xr:uid="{6A946AF5-AD1C-4632-B156-F9B3580021C6}"/>
    <cellStyle name="40% - Accent6 3 2 3" xfId="1117" xr:uid="{00000000-0005-0000-0000-000038070000}"/>
    <cellStyle name="40% - Accent6 3 2 3 2" xfId="3348" xr:uid="{00000000-0005-0000-0000-000039070000}"/>
    <cellStyle name="40% - Accent6 3 2 3 2 2" xfId="7570" xr:uid="{00000000-0005-0000-0000-00003A070000}"/>
    <cellStyle name="40% - Accent6 3 2 3 2 2 2" xfId="16020" xr:uid="{60C5D748-330C-40C5-8C22-019B219C5F7F}"/>
    <cellStyle name="40% - Accent6 3 2 3 2 3" xfId="11802" xr:uid="{9B094D1C-9B35-47C0-A8B9-E1AD4CE8AD53}"/>
    <cellStyle name="40% - Accent6 3 2 3 3" xfId="5425" xr:uid="{00000000-0005-0000-0000-00003B070000}"/>
    <cellStyle name="40% - Accent6 3 2 3 3 2" xfId="13875" xr:uid="{D22A1A70-1596-45BD-8CF7-1CCC311F6478}"/>
    <cellStyle name="40% - Accent6 3 2 3 4" xfId="9657" xr:uid="{19E67D58-5225-4EFC-96DB-AE59DABE901D}"/>
    <cellStyle name="40% - Accent6 3 2 4" xfId="1531" xr:uid="{00000000-0005-0000-0000-00003C070000}"/>
    <cellStyle name="40% - Accent6 3 2 4 2" xfId="3761" xr:uid="{00000000-0005-0000-0000-00003D070000}"/>
    <cellStyle name="40% - Accent6 3 2 4 2 2" xfId="7983" xr:uid="{00000000-0005-0000-0000-00003E070000}"/>
    <cellStyle name="40% - Accent6 3 2 4 2 2 2" xfId="16433" xr:uid="{7376F587-3D53-46AC-92FA-CAF87BA6AFCF}"/>
    <cellStyle name="40% - Accent6 3 2 4 2 3" xfId="12215" xr:uid="{82F9D10D-0A73-4C7D-A1F4-1B4107C40331}"/>
    <cellStyle name="40% - Accent6 3 2 4 3" xfId="5838" xr:uid="{00000000-0005-0000-0000-00003F070000}"/>
    <cellStyle name="40% - Accent6 3 2 4 3 2" xfId="14288" xr:uid="{A78078F7-F00C-4845-B6F2-5BA52B6FF8CD}"/>
    <cellStyle name="40% - Accent6 3 2 4 4" xfId="10070" xr:uid="{80ADB0E0-2AC4-4B4C-BD23-073A13FB9B22}"/>
    <cellStyle name="40% - Accent6 3 2 5" xfId="1945" xr:uid="{00000000-0005-0000-0000-000040070000}"/>
    <cellStyle name="40% - Accent6 3 2 5 2" xfId="4174" xr:uid="{00000000-0005-0000-0000-000041070000}"/>
    <cellStyle name="40% - Accent6 3 2 5 2 2" xfId="8396" xr:uid="{00000000-0005-0000-0000-000042070000}"/>
    <cellStyle name="40% - Accent6 3 2 5 2 2 2" xfId="16846" xr:uid="{F954B0CC-C800-428C-863B-985936DA0C83}"/>
    <cellStyle name="40% - Accent6 3 2 5 2 3" xfId="12628" xr:uid="{669CA482-38D1-425C-BAEA-FFA101623043}"/>
    <cellStyle name="40% - Accent6 3 2 5 3" xfId="6251" xr:uid="{00000000-0005-0000-0000-000043070000}"/>
    <cellStyle name="40% - Accent6 3 2 5 3 2" xfId="14701" xr:uid="{A9197DE2-71E8-44B3-84E2-090AA36D8207}"/>
    <cellStyle name="40% - Accent6 3 2 5 4" xfId="10483" xr:uid="{1BA5C400-897C-4ADE-86EB-940350D09A06}"/>
    <cellStyle name="40% - Accent6 3 2 6" xfId="2358" xr:uid="{00000000-0005-0000-0000-000044070000}"/>
    <cellStyle name="40% - Accent6 3 2 6 2" xfId="6664" xr:uid="{00000000-0005-0000-0000-000045070000}"/>
    <cellStyle name="40% - Accent6 3 2 6 2 2" xfId="15114" xr:uid="{B7151BF9-9B61-4CF9-A662-1C8EB89F8516}"/>
    <cellStyle name="40% - Accent6 3 2 6 3" xfId="10896" xr:uid="{6D25FCF5-EEEB-4CA3-B24B-579C0816FDF9}"/>
    <cellStyle name="40% - Accent6 3 2 7" xfId="4598" xr:uid="{00000000-0005-0000-0000-000046070000}"/>
    <cellStyle name="40% - Accent6 3 2 7 2" xfId="13048" xr:uid="{4A07E237-702C-46A4-B98F-1A4BCD9E1B85}"/>
    <cellStyle name="40% - Accent6 3 2 8" xfId="8830" xr:uid="{9C3C94A8-AF9B-4EE3-9F7D-93443BE455BA}"/>
    <cellStyle name="40% - Accent6 3 3" xfId="663" xr:uid="{00000000-0005-0000-0000-000047070000}"/>
    <cellStyle name="40% - Accent6 3 3 2" xfId="2934" xr:uid="{00000000-0005-0000-0000-000048070000}"/>
    <cellStyle name="40% - Accent6 3 3 2 2" xfId="7156" xr:uid="{00000000-0005-0000-0000-000049070000}"/>
    <cellStyle name="40% - Accent6 3 3 2 2 2" xfId="15606" xr:uid="{D481D3B5-B54B-4A99-811D-3FDE44A569C5}"/>
    <cellStyle name="40% - Accent6 3 3 2 3" xfId="11388" xr:uid="{68DA44B9-45F7-4ABE-8107-6EE11272EFBD}"/>
    <cellStyle name="40% - Accent6 3 3 3" xfId="5011" xr:uid="{00000000-0005-0000-0000-00004A070000}"/>
    <cellStyle name="40% - Accent6 3 3 3 2" xfId="13461" xr:uid="{C72ACAD4-FAF8-4106-998F-F3D7AC5FE692}"/>
    <cellStyle name="40% - Accent6 3 3 4" xfId="9243" xr:uid="{FD71C208-0E65-4086-AFE9-44F4B25BE34D}"/>
    <cellStyle name="40% - Accent6 3 4" xfId="1116" xr:uid="{00000000-0005-0000-0000-00004B070000}"/>
    <cellStyle name="40% - Accent6 3 4 2" xfId="3347" xr:uid="{00000000-0005-0000-0000-00004C070000}"/>
    <cellStyle name="40% - Accent6 3 4 2 2" xfId="7569" xr:uid="{00000000-0005-0000-0000-00004D070000}"/>
    <cellStyle name="40% - Accent6 3 4 2 2 2" xfId="16019" xr:uid="{AAFF4C17-ECCB-4672-8986-C57E596E5688}"/>
    <cellStyle name="40% - Accent6 3 4 2 3" xfId="11801" xr:uid="{F9801F79-A1A3-4047-B28C-77F208B5AA6C}"/>
    <cellStyle name="40% - Accent6 3 4 3" xfId="5424" xr:uid="{00000000-0005-0000-0000-00004E070000}"/>
    <cellStyle name="40% - Accent6 3 4 3 2" xfId="13874" xr:uid="{186B209D-CCDB-40F6-AFF5-974DD2BE0EB4}"/>
    <cellStyle name="40% - Accent6 3 4 4" xfId="9656" xr:uid="{385753EC-53FD-4E49-BF27-DF93358877C4}"/>
    <cellStyle name="40% - Accent6 3 5" xfId="1530" xr:uid="{00000000-0005-0000-0000-00004F070000}"/>
    <cellStyle name="40% - Accent6 3 5 2" xfId="3760" xr:uid="{00000000-0005-0000-0000-000050070000}"/>
    <cellStyle name="40% - Accent6 3 5 2 2" xfId="7982" xr:uid="{00000000-0005-0000-0000-000051070000}"/>
    <cellStyle name="40% - Accent6 3 5 2 2 2" xfId="16432" xr:uid="{F07BAFD5-302C-498B-A7D1-53BD0603C154}"/>
    <cellStyle name="40% - Accent6 3 5 2 3" xfId="12214" xr:uid="{AAD4630A-6418-4749-B50D-5241DFB30F1B}"/>
    <cellStyle name="40% - Accent6 3 5 3" xfId="5837" xr:uid="{00000000-0005-0000-0000-000052070000}"/>
    <cellStyle name="40% - Accent6 3 5 3 2" xfId="14287" xr:uid="{F6127562-581C-4284-B088-84248A01516C}"/>
    <cellStyle name="40% - Accent6 3 5 4" xfId="10069" xr:uid="{52D7BFEA-395E-4D22-B0A6-861A9269EA81}"/>
    <cellStyle name="40% - Accent6 3 6" xfId="1944" xr:uid="{00000000-0005-0000-0000-000053070000}"/>
    <cellStyle name="40% - Accent6 3 6 2" xfId="4173" xr:uid="{00000000-0005-0000-0000-000054070000}"/>
    <cellStyle name="40% - Accent6 3 6 2 2" xfId="8395" xr:uid="{00000000-0005-0000-0000-000055070000}"/>
    <cellStyle name="40% - Accent6 3 6 2 2 2" xfId="16845" xr:uid="{B16A814E-D6F4-4753-938D-2F6CDBED3F97}"/>
    <cellStyle name="40% - Accent6 3 6 2 3" xfId="12627" xr:uid="{EE898BC9-64D2-40DE-A2C3-E5DB08280EB4}"/>
    <cellStyle name="40% - Accent6 3 6 3" xfId="6250" xr:uid="{00000000-0005-0000-0000-000056070000}"/>
    <cellStyle name="40% - Accent6 3 6 3 2" xfId="14700" xr:uid="{29352CA9-D8B0-4142-86DE-8B00E57B45F1}"/>
    <cellStyle name="40% - Accent6 3 6 4" xfId="10482" xr:uid="{E52E550C-9650-4A10-B747-2B9276DA4A12}"/>
    <cellStyle name="40% - Accent6 3 7" xfId="2357" xr:uid="{00000000-0005-0000-0000-000057070000}"/>
    <cellStyle name="40% - Accent6 3 7 2" xfId="6663" xr:uid="{00000000-0005-0000-0000-000058070000}"/>
    <cellStyle name="40% - Accent6 3 7 2 2" xfId="15113" xr:uid="{2AFD7D5C-2CF2-420F-9947-858074399BD9}"/>
    <cellStyle name="40% - Accent6 3 7 3" xfId="10895" xr:uid="{9D436919-7EB6-4308-A854-1751635A5BFF}"/>
    <cellStyle name="40% - Accent6 3 8" xfId="4597" xr:uid="{00000000-0005-0000-0000-000059070000}"/>
    <cellStyle name="40% - Accent6 3 8 2" xfId="13047" xr:uid="{529F3266-65CC-4BA2-AA16-9CAC844F0882}"/>
    <cellStyle name="40% - Accent6 3 9" xfId="8829" xr:uid="{2BAE266B-21B7-4E57-9ECB-5A561DFA6FC6}"/>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2 2 2" xfId="15608" xr:uid="{F487E415-32BF-4BF1-810E-C8A235648967}"/>
    <cellStyle name="40% - Accent6 4 2 2 3" xfId="11390" xr:uid="{166B1F42-1E33-4354-982B-0A598BB7789E}"/>
    <cellStyle name="40% - Accent6 4 2 3" xfId="5013" xr:uid="{00000000-0005-0000-0000-00005E070000}"/>
    <cellStyle name="40% - Accent6 4 2 3 2" xfId="13463" xr:uid="{0974957E-3D39-471F-BF53-5E91B876BDE2}"/>
    <cellStyle name="40% - Accent6 4 2 4" xfId="9245" xr:uid="{950F8D9B-E47F-4181-9587-18042090FE0E}"/>
    <cellStyle name="40% - Accent6 4 3" xfId="1118" xr:uid="{00000000-0005-0000-0000-00005F070000}"/>
    <cellStyle name="40% - Accent6 4 3 2" xfId="3349" xr:uid="{00000000-0005-0000-0000-000060070000}"/>
    <cellStyle name="40% - Accent6 4 3 2 2" xfId="7571" xr:uid="{00000000-0005-0000-0000-000061070000}"/>
    <cellStyle name="40% - Accent6 4 3 2 2 2" xfId="16021" xr:uid="{D7F37F5F-E5D4-42A3-BD0D-02D47F7FD48F}"/>
    <cellStyle name="40% - Accent6 4 3 2 3" xfId="11803" xr:uid="{3E07C217-025D-4C92-935D-B7D5F17EF455}"/>
    <cellStyle name="40% - Accent6 4 3 3" xfId="5426" xr:uid="{00000000-0005-0000-0000-000062070000}"/>
    <cellStyle name="40% - Accent6 4 3 3 2" xfId="13876" xr:uid="{314F2CBF-0728-49FA-9B47-64A1101373E6}"/>
    <cellStyle name="40% - Accent6 4 3 4" xfId="9658" xr:uid="{42AE6FF3-37BA-4935-915B-5D4006A6D64E}"/>
    <cellStyle name="40% - Accent6 4 4" xfId="1532" xr:uid="{00000000-0005-0000-0000-000063070000}"/>
    <cellStyle name="40% - Accent6 4 4 2" xfId="3762" xr:uid="{00000000-0005-0000-0000-000064070000}"/>
    <cellStyle name="40% - Accent6 4 4 2 2" xfId="7984" xr:uid="{00000000-0005-0000-0000-000065070000}"/>
    <cellStyle name="40% - Accent6 4 4 2 2 2" xfId="16434" xr:uid="{EBED38C3-E7C3-4ACA-AE9E-2D7840176D65}"/>
    <cellStyle name="40% - Accent6 4 4 2 3" xfId="12216" xr:uid="{D889D319-78F8-481E-850E-0422BC7135E7}"/>
    <cellStyle name="40% - Accent6 4 4 3" xfId="5839" xr:uid="{00000000-0005-0000-0000-000066070000}"/>
    <cellStyle name="40% - Accent6 4 4 3 2" xfId="14289" xr:uid="{01A8693D-90B0-4B97-AA65-EFB7A83A2F82}"/>
    <cellStyle name="40% - Accent6 4 4 4" xfId="10071" xr:uid="{55A1D3B4-7D59-4A4A-9669-98EBF5362A1E}"/>
    <cellStyle name="40% - Accent6 4 5" xfId="1946" xr:uid="{00000000-0005-0000-0000-000067070000}"/>
    <cellStyle name="40% - Accent6 4 5 2" xfId="4175" xr:uid="{00000000-0005-0000-0000-000068070000}"/>
    <cellStyle name="40% - Accent6 4 5 2 2" xfId="8397" xr:uid="{00000000-0005-0000-0000-000069070000}"/>
    <cellStyle name="40% - Accent6 4 5 2 2 2" xfId="16847" xr:uid="{F3FCEA77-BE8D-4DC4-A209-0E0BFA36A559}"/>
    <cellStyle name="40% - Accent6 4 5 2 3" xfId="12629" xr:uid="{2120FEEF-46D4-468C-91A0-8F2ACA03BC0B}"/>
    <cellStyle name="40% - Accent6 4 5 3" xfId="6252" xr:uid="{00000000-0005-0000-0000-00006A070000}"/>
    <cellStyle name="40% - Accent6 4 5 3 2" xfId="14702" xr:uid="{A1F46021-BA55-4DDC-A1C3-5131C300AD50}"/>
    <cellStyle name="40% - Accent6 4 5 4" xfId="10484" xr:uid="{8ECD18C6-A6D2-4D23-87FE-A91682C5191D}"/>
    <cellStyle name="40% - Accent6 4 6" xfId="2359" xr:uid="{00000000-0005-0000-0000-00006B070000}"/>
    <cellStyle name="40% - Accent6 4 6 2" xfId="6665" xr:uid="{00000000-0005-0000-0000-00006C070000}"/>
    <cellStyle name="40% - Accent6 4 6 2 2" xfId="15115" xr:uid="{2F7BC4A7-3214-4EB9-9545-CB38F1392D9D}"/>
    <cellStyle name="40% - Accent6 4 6 3" xfId="10897" xr:uid="{5851EE2A-D0A1-4F03-9F4E-64BA4F158740}"/>
    <cellStyle name="40% - Accent6 4 7" xfId="4599" xr:uid="{00000000-0005-0000-0000-00006D070000}"/>
    <cellStyle name="40% - Accent6 4 7 2" xfId="13049" xr:uid="{7B272922-BE4F-477D-ADF2-9A1F0606CDD9}"/>
    <cellStyle name="40% - Accent6 4 8" xfId="8831" xr:uid="{4360FFDD-F9FE-4CB8-8E0A-2EB44AF95C66}"/>
    <cellStyle name="40% - Accent6 5" xfId="658" xr:uid="{00000000-0005-0000-0000-00006E070000}"/>
    <cellStyle name="40% - Accent6 5 2" xfId="2929" xr:uid="{00000000-0005-0000-0000-00006F070000}"/>
    <cellStyle name="40% - Accent6 5 2 2" xfId="7151" xr:uid="{00000000-0005-0000-0000-000070070000}"/>
    <cellStyle name="40% - Accent6 5 2 2 2" xfId="15601" xr:uid="{71F7F171-78DA-46E1-A35C-E08423210933}"/>
    <cellStyle name="40% - Accent6 5 2 3" xfId="11383" xr:uid="{1B708C64-84C9-4E8D-89A4-1DFEF2881009}"/>
    <cellStyle name="40% - Accent6 5 3" xfId="5006" xr:uid="{00000000-0005-0000-0000-000071070000}"/>
    <cellStyle name="40% - Accent6 5 3 2" xfId="13456" xr:uid="{BC2B4657-20FB-4626-8B67-6FD9F115262F}"/>
    <cellStyle name="40% - Accent6 5 4" xfId="9238" xr:uid="{6731309D-ECC9-4A8D-9C75-FB5A49DD6D4D}"/>
    <cellStyle name="40% - Accent6 6" xfId="1111" xr:uid="{00000000-0005-0000-0000-000072070000}"/>
    <cellStyle name="40% - Accent6 6 2" xfId="3342" xr:uid="{00000000-0005-0000-0000-000073070000}"/>
    <cellStyle name="40% - Accent6 6 2 2" xfId="7564" xr:uid="{00000000-0005-0000-0000-000074070000}"/>
    <cellStyle name="40% - Accent6 6 2 2 2" xfId="16014" xr:uid="{3C19DF15-558C-42D2-A229-62EF02E36354}"/>
    <cellStyle name="40% - Accent6 6 2 3" xfId="11796" xr:uid="{BAEE3889-35C0-4339-BE32-78E8DDB418CE}"/>
    <cellStyle name="40% - Accent6 6 3" xfId="5419" xr:uid="{00000000-0005-0000-0000-000075070000}"/>
    <cellStyle name="40% - Accent6 6 3 2" xfId="13869" xr:uid="{284D53D7-F758-4561-9D88-1C0DE942B240}"/>
    <cellStyle name="40% - Accent6 6 4" xfId="9651" xr:uid="{F4026176-D73F-4DC2-BF5B-5ECC5CB21201}"/>
    <cellStyle name="40% - Accent6 7" xfId="1525" xr:uid="{00000000-0005-0000-0000-000076070000}"/>
    <cellStyle name="40% - Accent6 7 2" xfId="3755" xr:uid="{00000000-0005-0000-0000-000077070000}"/>
    <cellStyle name="40% - Accent6 7 2 2" xfId="7977" xr:uid="{00000000-0005-0000-0000-000078070000}"/>
    <cellStyle name="40% - Accent6 7 2 2 2" xfId="16427" xr:uid="{2D5A946B-2D09-47D2-A5C5-746CED050F47}"/>
    <cellStyle name="40% - Accent6 7 2 3" xfId="12209" xr:uid="{CF3F80C7-8A14-4187-9524-7D810881B224}"/>
    <cellStyle name="40% - Accent6 7 3" xfId="5832" xr:uid="{00000000-0005-0000-0000-000079070000}"/>
    <cellStyle name="40% - Accent6 7 3 2" xfId="14282" xr:uid="{CF370476-389E-4771-AAD6-676459BE62B4}"/>
    <cellStyle name="40% - Accent6 7 4" xfId="10064" xr:uid="{CB5E9453-4932-423F-B8B1-2C026E9FA7C1}"/>
    <cellStyle name="40% - Accent6 8" xfId="1939" xr:uid="{00000000-0005-0000-0000-00007A070000}"/>
    <cellStyle name="40% - Accent6 8 2" xfId="4168" xr:uid="{00000000-0005-0000-0000-00007B070000}"/>
    <cellStyle name="40% - Accent6 8 2 2" xfId="8390" xr:uid="{00000000-0005-0000-0000-00007C070000}"/>
    <cellStyle name="40% - Accent6 8 2 2 2" xfId="16840" xr:uid="{80B91E6F-02F5-4E44-A16D-D1DFE84EC68B}"/>
    <cellStyle name="40% - Accent6 8 2 3" xfId="12622" xr:uid="{0CD71EE1-4830-4815-B2EB-56D6CF2AB05E}"/>
    <cellStyle name="40% - Accent6 8 3" xfId="6245" xr:uid="{00000000-0005-0000-0000-00007D070000}"/>
    <cellStyle name="40% - Accent6 8 3 2" xfId="14695" xr:uid="{C0CC61F2-92C4-4DE5-BD33-3B640C5C6ACC}"/>
    <cellStyle name="40% - Accent6 8 4" xfId="10477" xr:uid="{8FA72CCE-2382-45AB-AF61-118A14E37AF9}"/>
    <cellStyle name="40% - Accent6 9" xfId="2352" xr:uid="{00000000-0005-0000-0000-00007E070000}"/>
    <cellStyle name="40% - Accent6 9 2" xfId="6658" xr:uid="{00000000-0005-0000-0000-00007F070000}"/>
    <cellStyle name="40% - Accent6 9 2 2" xfId="15108" xr:uid="{4DD23C3D-F5D4-4ECC-848E-BCE34FEEC88F}"/>
    <cellStyle name="40% - Accent6 9 3" xfId="10890" xr:uid="{F1FFBC5B-80BB-40A8-A8AD-8B4C874D5307}"/>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0 2 2" xfId="15433" xr:uid="{62D5953B-97B5-468E-BA8D-5D34CF4C5A3A}"/>
    <cellStyle name="Comma 4 2 2 2 10 3" xfId="11215" xr:uid="{EF401F0B-A11C-4B62-BA70-65C4F0679248}"/>
    <cellStyle name="Comma 4 2 2 2 11" xfId="4600" xr:uid="{00000000-0005-0000-0000-0000A3070000}"/>
    <cellStyle name="Comma 4 2 2 2 11 2" xfId="13050" xr:uid="{7E36BC49-BC67-4A4C-92D9-D3E3BFC3E716}"/>
    <cellStyle name="Comma 4 2 2 2 12" xfId="8832" xr:uid="{75DEE57C-4371-4223-ACD6-11601EE1BD29}"/>
    <cellStyle name="Comma 4 2 2 2 2" xfId="129" xr:uid="{00000000-0005-0000-0000-0000A4070000}"/>
    <cellStyle name="Comma 4 2 2 2 2 10" xfId="4601" xr:uid="{00000000-0005-0000-0000-0000A5070000}"/>
    <cellStyle name="Comma 4 2 2 2 2 10 2" xfId="13051" xr:uid="{60E86D10-4784-425C-9787-06A4C2D03D7C}"/>
    <cellStyle name="Comma 4 2 2 2 2 11" xfId="8833" xr:uid="{ED0593E0-136E-47C0-A7E7-47985B96C699}"/>
    <cellStyle name="Comma 4 2 2 2 2 2" xfId="130" xr:uid="{00000000-0005-0000-0000-0000A6070000}"/>
    <cellStyle name="Comma 4 2 2 2 2 2 10" xfId="8834" xr:uid="{186E304B-2CAD-475C-811A-57699DC6960F}"/>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2 2 2" xfId="15611" xr:uid="{48F40090-D169-41BF-A3E1-D509ED3FBA36}"/>
    <cellStyle name="Comma 4 2 2 2 2 2 2 2 3" xfId="11393" xr:uid="{50157FAC-2E12-42CC-BD0F-9999479793AA}"/>
    <cellStyle name="Comma 4 2 2 2 2 2 2 3" xfId="5016" xr:uid="{00000000-0005-0000-0000-0000AA070000}"/>
    <cellStyle name="Comma 4 2 2 2 2 2 2 3 2" xfId="13466" xr:uid="{0B798906-B93F-4DC3-859B-87B243143FB1}"/>
    <cellStyle name="Comma 4 2 2 2 2 2 2 4" xfId="9248" xr:uid="{E47FCD7E-D52D-4A93-ACB1-2BB02473267C}"/>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2 2 2" xfId="16024" xr:uid="{F9549CE6-F54E-40FD-BDDE-D36F11F7AA96}"/>
    <cellStyle name="Comma 4 2 2 2 2 2 3 2 3" xfId="11806" xr:uid="{B8A89FA1-D4CF-42CD-94F8-78908561E048}"/>
    <cellStyle name="Comma 4 2 2 2 2 2 3 3" xfId="5429" xr:uid="{00000000-0005-0000-0000-0000AE070000}"/>
    <cellStyle name="Comma 4 2 2 2 2 2 3 3 2" xfId="13879" xr:uid="{A751BC5A-4ECB-4890-A3FC-E57B41223998}"/>
    <cellStyle name="Comma 4 2 2 2 2 2 3 4" xfId="9661" xr:uid="{55776F53-21DD-4650-BAAF-0265FD71D15D}"/>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2 2 2" xfId="16437" xr:uid="{7EB573C4-8BAE-4D69-A849-BB1AD72E6C4C}"/>
    <cellStyle name="Comma 4 2 2 2 2 2 4 2 3" xfId="12219" xr:uid="{356E38A4-0540-44AE-AA2F-E70E89F0CEA7}"/>
    <cellStyle name="Comma 4 2 2 2 2 2 4 3" xfId="5842" xr:uid="{00000000-0005-0000-0000-0000B2070000}"/>
    <cellStyle name="Comma 4 2 2 2 2 2 4 3 2" xfId="14292" xr:uid="{3A07770F-98B0-4AFB-B968-4A5B3705011D}"/>
    <cellStyle name="Comma 4 2 2 2 2 2 4 4" xfId="10074" xr:uid="{C203BA59-74B7-411E-90DC-AEB60FCCF5D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2 2 2" xfId="16850" xr:uid="{A9D5E441-9DBD-4B5D-838F-DC6B2771DF26}"/>
    <cellStyle name="Comma 4 2 2 2 2 2 5 2 3" xfId="12632" xr:uid="{B0A7530F-C4EF-427A-94F9-A40749CD1E73}"/>
    <cellStyle name="Comma 4 2 2 2 2 2 5 3" xfId="6255" xr:uid="{00000000-0005-0000-0000-0000B6070000}"/>
    <cellStyle name="Comma 4 2 2 2 2 2 5 3 2" xfId="14705" xr:uid="{0FD9B887-E331-438B-9A0E-00713FCC0818}"/>
    <cellStyle name="Comma 4 2 2 2 2 2 5 4" xfId="10487" xr:uid="{FE66C1D9-3B2B-44FF-958E-72B2F9632D26}"/>
    <cellStyle name="Comma 4 2 2 2 2 2 6" xfId="2384" xr:uid="{00000000-0005-0000-0000-0000B7070000}"/>
    <cellStyle name="Comma 4 2 2 2 2 2 6 2" xfId="6668" xr:uid="{00000000-0005-0000-0000-0000B8070000}"/>
    <cellStyle name="Comma 4 2 2 2 2 2 6 2 2" xfId="15118" xr:uid="{891BA45C-338C-428C-B57A-B2722A8B871F}"/>
    <cellStyle name="Comma 4 2 2 2 2 2 6 3" xfId="10900" xr:uid="{C9C84103-2B30-4FF8-9749-5DB3EF32A254}"/>
    <cellStyle name="Comma 4 2 2 2 2 2 7" xfId="2379" xr:uid="{00000000-0005-0000-0000-0000B9070000}"/>
    <cellStyle name="Comma 4 2 2 2 2 2 8" xfId="2762" xr:uid="{00000000-0005-0000-0000-0000BA070000}"/>
    <cellStyle name="Comma 4 2 2 2 2 2 8 2" xfId="6985" xr:uid="{00000000-0005-0000-0000-0000BB070000}"/>
    <cellStyle name="Comma 4 2 2 2 2 2 8 2 2" xfId="15435" xr:uid="{62F9AE46-CF56-43E4-B44E-65A6C6BD7C50}"/>
    <cellStyle name="Comma 4 2 2 2 2 2 8 3" xfId="11217" xr:uid="{0DA776CC-BB28-4D4D-84A7-2BC73E2ECCE9}"/>
    <cellStyle name="Comma 4 2 2 2 2 2 9" xfId="4602" xr:uid="{00000000-0005-0000-0000-0000BC070000}"/>
    <cellStyle name="Comma 4 2 2 2 2 2 9 2" xfId="13052" xr:uid="{BDA8046F-DE76-4071-92CE-CBD9F92775B9}"/>
    <cellStyle name="Comma 4 2 2 2 2 3" xfId="667" xr:uid="{00000000-0005-0000-0000-0000BD070000}"/>
    <cellStyle name="Comma 4 2 2 2 2 3 2" xfId="2938" xr:uid="{00000000-0005-0000-0000-0000BE070000}"/>
    <cellStyle name="Comma 4 2 2 2 2 3 2 2" xfId="7160" xr:uid="{00000000-0005-0000-0000-0000BF070000}"/>
    <cellStyle name="Comma 4 2 2 2 2 3 2 2 2" xfId="15610" xr:uid="{8BF06284-5B7E-4479-9EF6-CCE9183C7022}"/>
    <cellStyle name="Comma 4 2 2 2 2 3 2 3" xfId="11392" xr:uid="{2593C016-46B0-449C-BD65-1C9DD7AE5E4D}"/>
    <cellStyle name="Comma 4 2 2 2 2 3 3" xfId="5015" xr:uid="{00000000-0005-0000-0000-0000C0070000}"/>
    <cellStyle name="Comma 4 2 2 2 2 3 3 2" xfId="13465" xr:uid="{73F2CE69-E0E2-4245-9BC9-719C0CBFCDE5}"/>
    <cellStyle name="Comma 4 2 2 2 2 3 4" xfId="9247" xr:uid="{C4D1B430-8854-472A-A502-207CF1DB98C1}"/>
    <cellStyle name="Comma 4 2 2 2 2 4" xfId="1120" xr:uid="{00000000-0005-0000-0000-0000C1070000}"/>
    <cellStyle name="Comma 4 2 2 2 2 4 2" xfId="3351" xr:uid="{00000000-0005-0000-0000-0000C2070000}"/>
    <cellStyle name="Comma 4 2 2 2 2 4 2 2" xfId="7573" xr:uid="{00000000-0005-0000-0000-0000C3070000}"/>
    <cellStyle name="Comma 4 2 2 2 2 4 2 2 2" xfId="16023" xr:uid="{FE4E7E19-4872-4084-93C1-91564E9687C6}"/>
    <cellStyle name="Comma 4 2 2 2 2 4 2 3" xfId="11805" xr:uid="{9F50F828-DB79-43A9-BDBC-680488873532}"/>
    <cellStyle name="Comma 4 2 2 2 2 4 3" xfId="5428" xr:uid="{00000000-0005-0000-0000-0000C4070000}"/>
    <cellStyle name="Comma 4 2 2 2 2 4 3 2" xfId="13878" xr:uid="{99A50570-1B98-4DE6-A4CE-8C8F1A6249CD}"/>
    <cellStyle name="Comma 4 2 2 2 2 4 4" xfId="9660" xr:uid="{75E0D1A4-5603-4744-8FDC-5EE1CE202F58}"/>
    <cellStyle name="Comma 4 2 2 2 2 5" xfId="1534" xr:uid="{00000000-0005-0000-0000-0000C5070000}"/>
    <cellStyle name="Comma 4 2 2 2 2 5 2" xfId="3764" xr:uid="{00000000-0005-0000-0000-0000C6070000}"/>
    <cellStyle name="Comma 4 2 2 2 2 5 2 2" xfId="7986" xr:uid="{00000000-0005-0000-0000-0000C7070000}"/>
    <cellStyle name="Comma 4 2 2 2 2 5 2 2 2" xfId="16436" xr:uid="{6918217E-0A42-46A9-9E43-A898A5958BBF}"/>
    <cellStyle name="Comma 4 2 2 2 2 5 2 3" xfId="12218" xr:uid="{57F93123-2F36-40DD-ACD4-936446E111AC}"/>
    <cellStyle name="Comma 4 2 2 2 2 5 3" xfId="5841" xr:uid="{00000000-0005-0000-0000-0000C8070000}"/>
    <cellStyle name="Comma 4 2 2 2 2 5 3 2" xfId="14291" xr:uid="{BDEF9AEC-114C-4582-BE0D-6E3E5ABF29C3}"/>
    <cellStyle name="Comma 4 2 2 2 2 5 4" xfId="10073" xr:uid="{E6A270EC-B60C-440A-8055-C0C7C48E1EC1}"/>
    <cellStyle name="Comma 4 2 2 2 2 6" xfId="1948" xr:uid="{00000000-0005-0000-0000-0000C9070000}"/>
    <cellStyle name="Comma 4 2 2 2 2 6 2" xfId="4177" xr:uid="{00000000-0005-0000-0000-0000CA070000}"/>
    <cellStyle name="Comma 4 2 2 2 2 6 2 2" xfId="8399" xr:uid="{00000000-0005-0000-0000-0000CB070000}"/>
    <cellStyle name="Comma 4 2 2 2 2 6 2 2 2" xfId="16849" xr:uid="{70DFC7C0-6773-4FF3-A628-B4A3106BBDA5}"/>
    <cellStyle name="Comma 4 2 2 2 2 6 2 3" xfId="12631" xr:uid="{52853BA9-CBD8-4F49-A9F5-92B66A9DA185}"/>
    <cellStyle name="Comma 4 2 2 2 2 6 3" xfId="6254" xr:uid="{00000000-0005-0000-0000-0000CC070000}"/>
    <cellStyle name="Comma 4 2 2 2 2 6 3 2" xfId="14704" xr:uid="{CCE8B53B-513E-4479-A014-E34BCD834CDA}"/>
    <cellStyle name="Comma 4 2 2 2 2 6 4" xfId="10486" xr:uid="{384AD2F2-A946-4B88-A12D-B4BE1096857C}"/>
    <cellStyle name="Comma 4 2 2 2 2 7" xfId="2383" xr:uid="{00000000-0005-0000-0000-0000CD070000}"/>
    <cellStyle name="Comma 4 2 2 2 2 7 2" xfId="6667" xr:uid="{00000000-0005-0000-0000-0000CE070000}"/>
    <cellStyle name="Comma 4 2 2 2 2 7 2 2" xfId="15117" xr:uid="{10CDD4AD-6D03-46E9-8ECF-B3A69EE06303}"/>
    <cellStyle name="Comma 4 2 2 2 2 7 3" xfId="10899" xr:uid="{0A61D2B2-0C56-42F4-B556-4712AB450985}"/>
    <cellStyle name="Comma 4 2 2 2 2 8" xfId="2380" xr:uid="{00000000-0005-0000-0000-0000CF070000}"/>
    <cellStyle name="Comma 4 2 2 2 2 9" xfId="2761" xr:uid="{00000000-0005-0000-0000-0000D0070000}"/>
    <cellStyle name="Comma 4 2 2 2 2 9 2" xfId="6984" xr:uid="{00000000-0005-0000-0000-0000D1070000}"/>
    <cellStyle name="Comma 4 2 2 2 2 9 2 2" xfId="15434" xr:uid="{CB8D619A-E4AA-48B2-B493-AEBD0B60AE16}"/>
    <cellStyle name="Comma 4 2 2 2 2 9 3" xfId="11216" xr:uid="{EADB4950-45F0-4C6C-BB04-0BFDC60B94C7}"/>
    <cellStyle name="Comma 4 2 2 2 3" xfId="131" xr:uid="{00000000-0005-0000-0000-0000D2070000}"/>
    <cellStyle name="Comma 4 2 2 2 3 10" xfId="8835" xr:uid="{02793E02-D1D7-47A6-800C-9AE2803CF4F3}"/>
    <cellStyle name="Comma 4 2 2 2 3 2" xfId="669" xr:uid="{00000000-0005-0000-0000-0000D3070000}"/>
    <cellStyle name="Comma 4 2 2 2 3 2 2" xfId="2940" xr:uid="{00000000-0005-0000-0000-0000D4070000}"/>
    <cellStyle name="Comma 4 2 2 2 3 2 2 2" xfId="7162" xr:uid="{00000000-0005-0000-0000-0000D5070000}"/>
    <cellStyle name="Comma 4 2 2 2 3 2 2 2 2" xfId="15612" xr:uid="{60D85CF6-60E0-47AB-96B3-9EBDB1E203AD}"/>
    <cellStyle name="Comma 4 2 2 2 3 2 2 3" xfId="11394" xr:uid="{8AEE7709-9FC6-48F5-9F45-EEC425E6B153}"/>
    <cellStyle name="Comma 4 2 2 2 3 2 3" xfId="5017" xr:uid="{00000000-0005-0000-0000-0000D6070000}"/>
    <cellStyle name="Comma 4 2 2 2 3 2 3 2" xfId="13467" xr:uid="{19A04E06-B969-40B3-B881-83494B14CAD8}"/>
    <cellStyle name="Comma 4 2 2 2 3 2 4" xfId="9249" xr:uid="{488944B4-01A1-4179-8FD3-956644810F96}"/>
    <cellStyle name="Comma 4 2 2 2 3 3" xfId="1122" xr:uid="{00000000-0005-0000-0000-0000D7070000}"/>
    <cellStyle name="Comma 4 2 2 2 3 3 2" xfId="3353" xr:uid="{00000000-0005-0000-0000-0000D8070000}"/>
    <cellStyle name="Comma 4 2 2 2 3 3 2 2" xfId="7575" xr:uid="{00000000-0005-0000-0000-0000D9070000}"/>
    <cellStyle name="Comma 4 2 2 2 3 3 2 2 2" xfId="16025" xr:uid="{E6446DE6-11D6-4CD1-855F-B29A9B1DABD1}"/>
    <cellStyle name="Comma 4 2 2 2 3 3 2 3" xfId="11807" xr:uid="{F5727069-E0BA-4EB4-8E52-4BFFA089047A}"/>
    <cellStyle name="Comma 4 2 2 2 3 3 3" xfId="5430" xr:uid="{00000000-0005-0000-0000-0000DA070000}"/>
    <cellStyle name="Comma 4 2 2 2 3 3 3 2" xfId="13880" xr:uid="{4DBBA68E-86B8-4F39-AAA2-D99E70ACDAB8}"/>
    <cellStyle name="Comma 4 2 2 2 3 3 4" xfId="9662" xr:uid="{0E366E14-F79F-4366-815D-DC059D181CEE}"/>
    <cellStyle name="Comma 4 2 2 2 3 4" xfId="1536" xr:uid="{00000000-0005-0000-0000-0000DB070000}"/>
    <cellStyle name="Comma 4 2 2 2 3 4 2" xfId="3766" xr:uid="{00000000-0005-0000-0000-0000DC070000}"/>
    <cellStyle name="Comma 4 2 2 2 3 4 2 2" xfId="7988" xr:uid="{00000000-0005-0000-0000-0000DD070000}"/>
    <cellStyle name="Comma 4 2 2 2 3 4 2 2 2" xfId="16438" xr:uid="{499E8E08-089C-4179-B01E-BD4A9399A75B}"/>
    <cellStyle name="Comma 4 2 2 2 3 4 2 3" xfId="12220" xr:uid="{10D4E06F-BEA0-4E1F-A5B9-5765F3E4DFAC}"/>
    <cellStyle name="Comma 4 2 2 2 3 4 3" xfId="5843" xr:uid="{00000000-0005-0000-0000-0000DE070000}"/>
    <cellStyle name="Comma 4 2 2 2 3 4 3 2" xfId="14293" xr:uid="{54EA69C9-32A1-4FB1-9A7F-47F626DA7AEA}"/>
    <cellStyle name="Comma 4 2 2 2 3 4 4" xfId="10075" xr:uid="{9D504D72-41AA-46AC-AB7B-E840456EEA9A}"/>
    <cellStyle name="Comma 4 2 2 2 3 5" xfId="1950" xr:uid="{00000000-0005-0000-0000-0000DF070000}"/>
    <cellStyle name="Comma 4 2 2 2 3 5 2" xfId="4179" xr:uid="{00000000-0005-0000-0000-0000E0070000}"/>
    <cellStyle name="Comma 4 2 2 2 3 5 2 2" xfId="8401" xr:uid="{00000000-0005-0000-0000-0000E1070000}"/>
    <cellStyle name="Comma 4 2 2 2 3 5 2 2 2" xfId="16851" xr:uid="{D3B7B74A-3B8A-49C1-82F4-62768EF75244}"/>
    <cellStyle name="Comma 4 2 2 2 3 5 2 3" xfId="12633" xr:uid="{9E836E41-9EC7-4552-8B5A-1822D63672EE}"/>
    <cellStyle name="Comma 4 2 2 2 3 5 3" xfId="6256" xr:uid="{00000000-0005-0000-0000-0000E2070000}"/>
    <cellStyle name="Comma 4 2 2 2 3 5 3 2" xfId="14706" xr:uid="{93B1B0EF-68EA-4455-B558-64E2B51637EF}"/>
    <cellStyle name="Comma 4 2 2 2 3 5 4" xfId="10488" xr:uid="{34F5CB8D-E1F4-4971-AF06-8ED27EE8D988}"/>
    <cellStyle name="Comma 4 2 2 2 3 6" xfId="2385" xr:uid="{00000000-0005-0000-0000-0000E3070000}"/>
    <cellStyle name="Comma 4 2 2 2 3 6 2" xfId="6669" xr:uid="{00000000-0005-0000-0000-0000E4070000}"/>
    <cellStyle name="Comma 4 2 2 2 3 6 2 2" xfId="15119" xr:uid="{8BE3308C-682E-490E-B88A-58888CA35A6C}"/>
    <cellStyle name="Comma 4 2 2 2 3 6 3" xfId="10901" xr:uid="{3B1F56BF-DDF7-433B-B173-73E7219B9F77}"/>
    <cellStyle name="Comma 4 2 2 2 3 7" xfId="2378" xr:uid="{00000000-0005-0000-0000-0000E5070000}"/>
    <cellStyle name="Comma 4 2 2 2 3 8" xfId="2763" xr:uid="{00000000-0005-0000-0000-0000E6070000}"/>
    <cellStyle name="Comma 4 2 2 2 3 8 2" xfId="6986" xr:uid="{00000000-0005-0000-0000-0000E7070000}"/>
    <cellStyle name="Comma 4 2 2 2 3 8 2 2" xfId="15436" xr:uid="{DAF00BD1-6E08-48AE-82B7-42FDF53C3EB6}"/>
    <cellStyle name="Comma 4 2 2 2 3 8 3" xfId="11218" xr:uid="{010A57DD-9FC8-47EB-9E90-A8464543B732}"/>
    <cellStyle name="Comma 4 2 2 2 3 9" xfId="4603" xr:uid="{00000000-0005-0000-0000-0000E8070000}"/>
    <cellStyle name="Comma 4 2 2 2 3 9 2" xfId="13053" xr:uid="{16246C39-F9A0-46C9-ABB5-DF957565F5E0}"/>
    <cellStyle name="Comma 4 2 2 2 4" xfId="666" xr:uid="{00000000-0005-0000-0000-0000E9070000}"/>
    <cellStyle name="Comma 4 2 2 2 4 2" xfId="2937" xr:uid="{00000000-0005-0000-0000-0000EA070000}"/>
    <cellStyle name="Comma 4 2 2 2 4 2 2" xfId="7159" xr:uid="{00000000-0005-0000-0000-0000EB070000}"/>
    <cellStyle name="Comma 4 2 2 2 4 2 2 2" xfId="15609" xr:uid="{6405D037-569A-4E55-BAC7-700A3F45B6EB}"/>
    <cellStyle name="Comma 4 2 2 2 4 2 3" xfId="11391" xr:uid="{61032B33-0754-4F6D-AADB-08D86800D3C8}"/>
    <cellStyle name="Comma 4 2 2 2 4 3" xfId="5014" xr:uid="{00000000-0005-0000-0000-0000EC070000}"/>
    <cellStyle name="Comma 4 2 2 2 4 3 2" xfId="13464" xr:uid="{9D460108-D05F-4A00-BB1E-DC57E05DF13F}"/>
    <cellStyle name="Comma 4 2 2 2 4 4" xfId="9246" xr:uid="{64D9D65D-0C22-41B1-8DFE-31FB56A6F5A2}"/>
    <cellStyle name="Comma 4 2 2 2 5" xfId="1119" xr:uid="{00000000-0005-0000-0000-0000ED070000}"/>
    <cellStyle name="Comma 4 2 2 2 5 2" xfId="3350" xr:uid="{00000000-0005-0000-0000-0000EE070000}"/>
    <cellStyle name="Comma 4 2 2 2 5 2 2" xfId="7572" xr:uid="{00000000-0005-0000-0000-0000EF070000}"/>
    <cellStyle name="Comma 4 2 2 2 5 2 2 2" xfId="16022" xr:uid="{A01D5CD3-F4E7-43DD-BD20-6847E0976B8A}"/>
    <cellStyle name="Comma 4 2 2 2 5 2 3" xfId="11804" xr:uid="{BAC1190B-ADCE-43C3-80FE-B6134B211AFD}"/>
    <cellStyle name="Comma 4 2 2 2 5 3" xfId="5427" xr:uid="{00000000-0005-0000-0000-0000F0070000}"/>
    <cellStyle name="Comma 4 2 2 2 5 3 2" xfId="13877" xr:uid="{BE7ED422-5322-4D1D-ACF2-4B0B25F89628}"/>
    <cellStyle name="Comma 4 2 2 2 5 4" xfId="9659" xr:uid="{3B5F416F-30CD-44D4-A5E5-472A0910ADCD}"/>
    <cellStyle name="Comma 4 2 2 2 6" xfId="1533" xr:uid="{00000000-0005-0000-0000-0000F1070000}"/>
    <cellStyle name="Comma 4 2 2 2 6 2" xfId="3763" xr:uid="{00000000-0005-0000-0000-0000F2070000}"/>
    <cellStyle name="Comma 4 2 2 2 6 2 2" xfId="7985" xr:uid="{00000000-0005-0000-0000-0000F3070000}"/>
    <cellStyle name="Comma 4 2 2 2 6 2 2 2" xfId="16435" xr:uid="{2971967C-D90C-45E3-8B56-68BC6F19E505}"/>
    <cellStyle name="Comma 4 2 2 2 6 2 3" xfId="12217" xr:uid="{A9561687-0517-468F-96C7-DD277ACAE36D}"/>
    <cellStyle name="Comma 4 2 2 2 6 3" xfId="5840" xr:uid="{00000000-0005-0000-0000-0000F4070000}"/>
    <cellStyle name="Comma 4 2 2 2 6 3 2" xfId="14290" xr:uid="{F98AD27C-C243-4ED2-A950-60C70C32E2A7}"/>
    <cellStyle name="Comma 4 2 2 2 6 4" xfId="10072" xr:uid="{3CD954C5-2652-4ABE-B80E-52E88B32C3DB}"/>
    <cellStyle name="Comma 4 2 2 2 7" xfId="1947" xr:uid="{00000000-0005-0000-0000-0000F5070000}"/>
    <cellStyle name="Comma 4 2 2 2 7 2" xfId="4176" xr:uid="{00000000-0005-0000-0000-0000F6070000}"/>
    <cellStyle name="Comma 4 2 2 2 7 2 2" xfId="8398" xr:uid="{00000000-0005-0000-0000-0000F7070000}"/>
    <cellStyle name="Comma 4 2 2 2 7 2 2 2" xfId="16848" xr:uid="{B5F32E2B-1557-4714-9A31-B59956F1BDDC}"/>
    <cellStyle name="Comma 4 2 2 2 7 2 3" xfId="12630" xr:uid="{0A3DBF36-EB86-4EDA-B57A-29DD3222C183}"/>
    <cellStyle name="Comma 4 2 2 2 7 3" xfId="6253" xr:uid="{00000000-0005-0000-0000-0000F8070000}"/>
    <cellStyle name="Comma 4 2 2 2 7 3 2" xfId="14703" xr:uid="{D2857CBC-177F-4875-A7BD-6A8EC65782EC}"/>
    <cellStyle name="Comma 4 2 2 2 7 4" xfId="10485" xr:uid="{126FA5EF-A822-42F0-9E8C-C1379DBF60BF}"/>
    <cellStyle name="Comma 4 2 2 2 8" xfId="2382" xr:uid="{00000000-0005-0000-0000-0000F9070000}"/>
    <cellStyle name="Comma 4 2 2 2 8 2" xfId="6666" xr:uid="{00000000-0005-0000-0000-0000FA070000}"/>
    <cellStyle name="Comma 4 2 2 2 8 2 2" xfId="15116" xr:uid="{24BF4935-DAFF-4457-844A-1DA3684E9EE1}"/>
    <cellStyle name="Comma 4 2 2 2 8 3" xfId="10898" xr:uid="{CD38032D-BDBF-4360-A6B7-205749220189}"/>
    <cellStyle name="Comma 4 2 2 2 9" xfId="2381" xr:uid="{00000000-0005-0000-0000-0000FB070000}"/>
    <cellStyle name="Comma 4 2 2 3" xfId="132" xr:uid="{00000000-0005-0000-0000-0000FC070000}"/>
    <cellStyle name="Comma 4 2 2 3 10" xfId="4604" xr:uid="{00000000-0005-0000-0000-0000FD070000}"/>
    <cellStyle name="Comma 4 2 2 3 10 2" xfId="13054" xr:uid="{98758ABC-559A-4BC5-950A-0B8DB3B21958}"/>
    <cellStyle name="Comma 4 2 2 3 11" xfId="8836" xr:uid="{315A4FBC-D4A6-4636-B85E-B989AED933E8}"/>
    <cellStyle name="Comma 4 2 2 3 2" xfId="133" xr:uid="{00000000-0005-0000-0000-0000FE070000}"/>
    <cellStyle name="Comma 4 2 2 3 2 10" xfId="8837" xr:uid="{DC0E0D4D-D5E4-4895-A3A3-B4D81B2230B0}"/>
    <cellStyle name="Comma 4 2 2 3 2 2" xfId="671" xr:uid="{00000000-0005-0000-0000-0000FF070000}"/>
    <cellStyle name="Comma 4 2 2 3 2 2 2" xfId="2942" xr:uid="{00000000-0005-0000-0000-000000080000}"/>
    <cellStyle name="Comma 4 2 2 3 2 2 2 2" xfId="7164" xr:uid="{00000000-0005-0000-0000-000001080000}"/>
    <cellStyle name="Comma 4 2 2 3 2 2 2 2 2" xfId="15614" xr:uid="{6B74E049-3DCA-48FE-8498-B1420985CF68}"/>
    <cellStyle name="Comma 4 2 2 3 2 2 2 3" xfId="11396" xr:uid="{DDF25A8A-AAD8-4E44-8141-529B9D25EF05}"/>
    <cellStyle name="Comma 4 2 2 3 2 2 3" xfId="5019" xr:uid="{00000000-0005-0000-0000-000002080000}"/>
    <cellStyle name="Comma 4 2 2 3 2 2 3 2" xfId="13469" xr:uid="{453311AE-C471-42F3-9E1B-088B178A103A}"/>
    <cellStyle name="Comma 4 2 2 3 2 2 4" xfId="9251" xr:uid="{DA3B8513-0AA3-47D9-9EDD-F73066C3C876}"/>
    <cellStyle name="Comma 4 2 2 3 2 3" xfId="1124" xr:uid="{00000000-0005-0000-0000-000003080000}"/>
    <cellStyle name="Comma 4 2 2 3 2 3 2" xfId="3355" xr:uid="{00000000-0005-0000-0000-000004080000}"/>
    <cellStyle name="Comma 4 2 2 3 2 3 2 2" xfId="7577" xr:uid="{00000000-0005-0000-0000-000005080000}"/>
    <cellStyle name="Comma 4 2 2 3 2 3 2 2 2" xfId="16027" xr:uid="{B2634D3C-3FE0-4563-B057-8A48D7598D9E}"/>
    <cellStyle name="Comma 4 2 2 3 2 3 2 3" xfId="11809" xr:uid="{694FBA36-B6AC-47AA-883E-58F4F1750D05}"/>
    <cellStyle name="Comma 4 2 2 3 2 3 3" xfId="5432" xr:uid="{00000000-0005-0000-0000-000006080000}"/>
    <cellStyle name="Comma 4 2 2 3 2 3 3 2" xfId="13882" xr:uid="{0D4B4612-09C6-415C-960C-C34CE438DEA4}"/>
    <cellStyle name="Comma 4 2 2 3 2 3 4" xfId="9664" xr:uid="{716BEFBF-FE7B-4AD6-AC37-9120EAECBECB}"/>
    <cellStyle name="Comma 4 2 2 3 2 4" xfId="1538" xr:uid="{00000000-0005-0000-0000-000007080000}"/>
    <cellStyle name="Comma 4 2 2 3 2 4 2" xfId="3768" xr:uid="{00000000-0005-0000-0000-000008080000}"/>
    <cellStyle name="Comma 4 2 2 3 2 4 2 2" xfId="7990" xr:uid="{00000000-0005-0000-0000-000009080000}"/>
    <cellStyle name="Comma 4 2 2 3 2 4 2 2 2" xfId="16440" xr:uid="{5D265798-5B22-4AEB-B3F0-037D3AB01E8A}"/>
    <cellStyle name="Comma 4 2 2 3 2 4 2 3" xfId="12222" xr:uid="{63AF04CB-A05D-4BCD-909E-1232DDE290E4}"/>
    <cellStyle name="Comma 4 2 2 3 2 4 3" xfId="5845" xr:uid="{00000000-0005-0000-0000-00000A080000}"/>
    <cellStyle name="Comma 4 2 2 3 2 4 3 2" xfId="14295" xr:uid="{FFF050A4-94C7-41D0-AA9E-867338DB6622}"/>
    <cellStyle name="Comma 4 2 2 3 2 4 4" xfId="10077" xr:uid="{32C038B6-52EC-4162-B499-0BBB225116C7}"/>
    <cellStyle name="Comma 4 2 2 3 2 5" xfId="1952" xr:uid="{00000000-0005-0000-0000-00000B080000}"/>
    <cellStyle name="Comma 4 2 2 3 2 5 2" xfId="4181" xr:uid="{00000000-0005-0000-0000-00000C080000}"/>
    <cellStyle name="Comma 4 2 2 3 2 5 2 2" xfId="8403" xr:uid="{00000000-0005-0000-0000-00000D080000}"/>
    <cellStyle name="Comma 4 2 2 3 2 5 2 2 2" xfId="16853" xr:uid="{9730EBD7-D6A3-4EFC-AD49-C3ED03E520BA}"/>
    <cellStyle name="Comma 4 2 2 3 2 5 2 3" xfId="12635" xr:uid="{AF680855-278F-4D29-8FE1-4879142DC981}"/>
    <cellStyle name="Comma 4 2 2 3 2 5 3" xfId="6258" xr:uid="{00000000-0005-0000-0000-00000E080000}"/>
    <cellStyle name="Comma 4 2 2 3 2 5 3 2" xfId="14708" xr:uid="{475BEBC8-91BA-467A-BE75-4B22AE6C3335}"/>
    <cellStyle name="Comma 4 2 2 3 2 5 4" xfId="10490" xr:uid="{0570ACAB-32B5-47CA-AF34-F642E50E5BA0}"/>
    <cellStyle name="Comma 4 2 2 3 2 6" xfId="2387" xr:uid="{00000000-0005-0000-0000-00000F080000}"/>
    <cellStyle name="Comma 4 2 2 3 2 6 2" xfId="6671" xr:uid="{00000000-0005-0000-0000-000010080000}"/>
    <cellStyle name="Comma 4 2 2 3 2 6 2 2" xfId="15121" xr:uid="{009F7C4D-5CC2-40FA-8437-F77CC4F843FD}"/>
    <cellStyle name="Comma 4 2 2 3 2 6 3" xfId="10903" xr:uid="{BAAD5DA2-F963-4CD6-8C90-8586B25AD2DD}"/>
    <cellStyle name="Comma 4 2 2 3 2 7" xfId="2376" xr:uid="{00000000-0005-0000-0000-000011080000}"/>
    <cellStyle name="Comma 4 2 2 3 2 8" xfId="2765" xr:uid="{00000000-0005-0000-0000-000012080000}"/>
    <cellStyle name="Comma 4 2 2 3 2 8 2" xfId="6988" xr:uid="{00000000-0005-0000-0000-000013080000}"/>
    <cellStyle name="Comma 4 2 2 3 2 8 2 2" xfId="15438" xr:uid="{CB332D9C-E24A-4FB6-8BF4-1056747F2402}"/>
    <cellStyle name="Comma 4 2 2 3 2 8 3" xfId="11220" xr:uid="{1F4556C0-8C14-40B2-8E08-87D241C50214}"/>
    <cellStyle name="Comma 4 2 2 3 2 9" xfId="4605" xr:uid="{00000000-0005-0000-0000-000014080000}"/>
    <cellStyle name="Comma 4 2 2 3 2 9 2" xfId="13055" xr:uid="{4E4158C9-34A9-4B3B-8EC8-771052B99019}"/>
    <cellStyle name="Comma 4 2 2 3 3" xfId="670" xr:uid="{00000000-0005-0000-0000-000015080000}"/>
    <cellStyle name="Comma 4 2 2 3 3 2" xfId="2941" xr:uid="{00000000-0005-0000-0000-000016080000}"/>
    <cellStyle name="Comma 4 2 2 3 3 2 2" xfId="7163" xr:uid="{00000000-0005-0000-0000-000017080000}"/>
    <cellStyle name="Comma 4 2 2 3 3 2 2 2" xfId="15613" xr:uid="{6B8389FD-EBA7-4588-A979-5863D854D3B4}"/>
    <cellStyle name="Comma 4 2 2 3 3 2 3" xfId="11395" xr:uid="{5F233947-EA9E-47AA-B630-039D74B9A0A4}"/>
    <cellStyle name="Comma 4 2 2 3 3 3" xfId="5018" xr:uid="{00000000-0005-0000-0000-000018080000}"/>
    <cellStyle name="Comma 4 2 2 3 3 3 2" xfId="13468" xr:uid="{65B9A524-4273-445B-97A4-5DD64AF51C31}"/>
    <cellStyle name="Comma 4 2 2 3 3 4" xfId="9250" xr:uid="{29EB4A60-5F09-48C1-9FD5-8422530379C7}"/>
    <cellStyle name="Comma 4 2 2 3 4" xfId="1123" xr:uid="{00000000-0005-0000-0000-000019080000}"/>
    <cellStyle name="Comma 4 2 2 3 4 2" xfId="3354" xr:uid="{00000000-0005-0000-0000-00001A080000}"/>
    <cellStyle name="Comma 4 2 2 3 4 2 2" xfId="7576" xr:uid="{00000000-0005-0000-0000-00001B080000}"/>
    <cellStyle name="Comma 4 2 2 3 4 2 2 2" xfId="16026" xr:uid="{996732D3-F3CF-4F5D-A5E6-C7980AE6122A}"/>
    <cellStyle name="Comma 4 2 2 3 4 2 3" xfId="11808" xr:uid="{4B1C930C-5A3F-4406-B175-5B5F42C6F808}"/>
    <cellStyle name="Comma 4 2 2 3 4 3" xfId="5431" xr:uid="{00000000-0005-0000-0000-00001C080000}"/>
    <cellStyle name="Comma 4 2 2 3 4 3 2" xfId="13881" xr:uid="{105D50FA-A251-495B-8AD3-3650A5A70078}"/>
    <cellStyle name="Comma 4 2 2 3 4 4" xfId="9663" xr:uid="{43C3FB1F-9C99-4C9C-969A-5A4E9C2FCDA0}"/>
    <cellStyle name="Comma 4 2 2 3 5" xfId="1537" xr:uid="{00000000-0005-0000-0000-00001D080000}"/>
    <cellStyle name="Comma 4 2 2 3 5 2" xfId="3767" xr:uid="{00000000-0005-0000-0000-00001E080000}"/>
    <cellStyle name="Comma 4 2 2 3 5 2 2" xfId="7989" xr:uid="{00000000-0005-0000-0000-00001F080000}"/>
    <cellStyle name="Comma 4 2 2 3 5 2 2 2" xfId="16439" xr:uid="{D2330F17-F329-41E6-BD2A-6EB6EDD10E25}"/>
    <cellStyle name="Comma 4 2 2 3 5 2 3" xfId="12221" xr:uid="{05FD9C63-5D28-45B5-9280-AC55FC4F7699}"/>
    <cellStyle name="Comma 4 2 2 3 5 3" xfId="5844" xr:uid="{00000000-0005-0000-0000-000020080000}"/>
    <cellStyle name="Comma 4 2 2 3 5 3 2" xfId="14294" xr:uid="{21EBA1C4-4D77-45D2-9925-00CC92CFD23A}"/>
    <cellStyle name="Comma 4 2 2 3 5 4" xfId="10076" xr:uid="{EEC4AE29-A908-4855-8B4C-80E240264E63}"/>
    <cellStyle name="Comma 4 2 2 3 6" xfId="1951" xr:uid="{00000000-0005-0000-0000-000021080000}"/>
    <cellStyle name="Comma 4 2 2 3 6 2" xfId="4180" xr:uid="{00000000-0005-0000-0000-000022080000}"/>
    <cellStyle name="Comma 4 2 2 3 6 2 2" xfId="8402" xr:uid="{00000000-0005-0000-0000-000023080000}"/>
    <cellStyle name="Comma 4 2 2 3 6 2 2 2" xfId="16852" xr:uid="{91C13B26-FDB5-43C2-BA0C-C0AAB95DE846}"/>
    <cellStyle name="Comma 4 2 2 3 6 2 3" xfId="12634" xr:uid="{D33E550A-3717-4E85-A150-987A2848801D}"/>
    <cellStyle name="Comma 4 2 2 3 6 3" xfId="6257" xr:uid="{00000000-0005-0000-0000-000024080000}"/>
    <cellStyle name="Comma 4 2 2 3 6 3 2" xfId="14707" xr:uid="{1FCFA74C-EF3D-4029-B5F4-852D50F41748}"/>
    <cellStyle name="Comma 4 2 2 3 6 4" xfId="10489" xr:uid="{0E7CD688-E84D-47A9-8A6C-275763D8D999}"/>
    <cellStyle name="Comma 4 2 2 3 7" xfId="2386" xr:uid="{00000000-0005-0000-0000-000025080000}"/>
    <cellStyle name="Comma 4 2 2 3 7 2" xfId="6670" xr:uid="{00000000-0005-0000-0000-000026080000}"/>
    <cellStyle name="Comma 4 2 2 3 7 2 2" xfId="15120" xr:uid="{1443B0DB-FD73-4B9B-9D5A-CBC3742C3F25}"/>
    <cellStyle name="Comma 4 2 2 3 7 3" xfId="10902" xr:uid="{C1056F3D-3567-4DFE-81A6-183789B393FD}"/>
    <cellStyle name="Comma 4 2 2 3 8" xfId="2377" xr:uid="{00000000-0005-0000-0000-000027080000}"/>
    <cellStyle name="Comma 4 2 2 3 9" xfId="2764" xr:uid="{00000000-0005-0000-0000-000028080000}"/>
    <cellStyle name="Comma 4 2 2 3 9 2" xfId="6987" xr:uid="{00000000-0005-0000-0000-000029080000}"/>
    <cellStyle name="Comma 4 2 2 3 9 2 2" xfId="15437" xr:uid="{4DFB4DF7-1ADF-4BFB-9AC8-1030DFFD5D02}"/>
    <cellStyle name="Comma 4 2 2 3 9 3" xfId="11219" xr:uid="{AFC305C8-5601-428A-897B-04855CB57EA5}"/>
    <cellStyle name="Comma 4 2 2 4" xfId="134" xr:uid="{00000000-0005-0000-0000-00002A080000}"/>
    <cellStyle name="Comma 4 2 2 4 10" xfId="8838" xr:uid="{1707B454-2276-4D44-A0E0-D0B879E2EE99}"/>
    <cellStyle name="Comma 4 2 2 4 2" xfId="672" xr:uid="{00000000-0005-0000-0000-00002B080000}"/>
    <cellStyle name="Comma 4 2 2 4 2 2" xfId="2943" xr:uid="{00000000-0005-0000-0000-00002C080000}"/>
    <cellStyle name="Comma 4 2 2 4 2 2 2" xfId="7165" xr:uid="{00000000-0005-0000-0000-00002D080000}"/>
    <cellStyle name="Comma 4 2 2 4 2 2 2 2" xfId="15615" xr:uid="{9C6A1E0A-476C-4255-9B55-4706522DB786}"/>
    <cellStyle name="Comma 4 2 2 4 2 2 3" xfId="11397" xr:uid="{680A958F-82D7-4BB1-8ABA-06859448F42B}"/>
    <cellStyle name="Comma 4 2 2 4 2 3" xfId="5020" xr:uid="{00000000-0005-0000-0000-00002E080000}"/>
    <cellStyle name="Comma 4 2 2 4 2 3 2" xfId="13470" xr:uid="{D0E8E786-D38B-4BBE-820B-1FD1EB7874EB}"/>
    <cellStyle name="Comma 4 2 2 4 2 4" xfId="9252" xr:uid="{5BE6FE9B-27C4-41CC-B4DC-7587FCDFCD3F}"/>
    <cellStyle name="Comma 4 2 2 4 3" xfId="1125" xr:uid="{00000000-0005-0000-0000-00002F080000}"/>
    <cellStyle name="Comma 4 2 2 4 3 2" xfId="3356" xr:uid="{00000000-0005-0000-0000-000030080000}"/>
    <cellStyle name="Comma 4 2 2 4 3 2 2" xfId="7578" xr:uid="{00000000-0005-0000-0000-000031080000}"/>
    <cellStyle name="Comma 4 2 2 4 3 2 2 2" xfId="16028" xr:uid="{C11C3112-47F7-4816-9216-59BDB3D2428E}"/>
    <cellStyle name="Comma 4 2 2 4 3 2 3" xfId="11810" xr:uid="{23AFB2E0-0D60-4E1D-8738-8E0889586A6C}"/>
    <cellStyle name="Comma 4 2 2 4 3 3" xfId="5433" xr:uid="{00000000-0005-0000-0000-000032080000}"/>
    <cellStyle name="Comma 4 2 2 4 3 3 2" xfId="13883" xr:uid="{F1BF679D-D238-4412-8954-E639ED022AE5}"/>
    <cellStyle name="Comma 4 2 2 4 3 4" xfId="9665" xr:uid="{A2DB4EAB-EA32-4610-B3FA-439F265157C3}"/>
    <cellStyle name="Comma 4 2 2 4 4" xfId="1539" xr:uid="{00000000-0005-0000-0000-000033080000}"/>
    <cellStyle name="Comma 4 2 2 4 4 2" xfId="3769" xr:uid="{00000000-0005-0000-0000-000034080000}"/>
    <cellStyle name="Comma 4 2 2 4 4 2 2" xfId="7991" xr:uid="{00000000-0005-0000-0000-000035080000}"/>
    <cellStyle name="Comma 4 2 2 4 4 2 2 2" xfId="16441" xr:uid="{38159680-A87C-46CC-A195-0E71BCCC0390}"/>
    <cellStyle name="Comma 4 2 2 4 4 2 3" xfId="12223" xr:uid="{E17B8196-9E26-4C16-B53D-5C701F50308C}"/>
    <cellStyle name="Comma 4 2 2 4 4 3" xfId="5846" xr:uid="{00000000-0005-0000-0000-000036080000}"/>
    <cellStyle name="Comma 4 2 2 4 4 3 2" xfId="14296" xr:uid="{768BC1D3-2925-43CD-A41D-4A2FEE1B057E}"/>
    <cellStyle name="Comma 4 2 2 4 4 4" xfId="10078" xr:uid="{1779FB13-189F-4FF7-A91E-A7C042F4B380}"/>
    <cellStyle name="Comma 4 2 2 4 5" xfId="1953" xr:uid="{00000000-0005-0000-0000-000037080000}"/>
    <cellStyle name="Comma 4 2 2 4 5 2" xfId="4182" xr:uid="{00000000-0005-0000-0000-000038080000}"/>
    <cellStyle name="Comma 4 2 2 4 5 2 2" xfId="8404" xr:uid="{00000000-0005-0000-0000-000039080000}"/>
    <cellStyle name="Comma 4 2 2 4 5 2 2 2" xfId="16854" xr:uid="{7122FBD4-D296-44B5-80D9-4E9944297C67}"/>
    <cellStyle name="Comma 4 2 2 4 5 2 3" xfId="12636" xr:uid="{A8CDE551-193F-4C41-9A74-A22A793B3775}"/>
    <cellStyle name="Comma 4 2 2 4 5 3" xfId="6259" xr:uid="{00000000-0005-0000-0000-00003A080000}"/>
    <cellStyle name="Comma 4 2 2 4 5 3 2" xfId="14709" xr:uid="{BD597270-F1DF-4B60-8F8C-324A369980A6}"/>
    <cellStyle name="Comma 4 2 2 4 5 4" xfId="10491" xr:uid="{E9A36DF5-CB79-4253-95E9-B29B8CC58DEC}"/>
    <cellStyle name="Comma 4 2 2 4 6" xfId="2388" xr:uid="{00000000-0005-0000-0000-00003B080000}"/>
    <cellStyle name="Comma 4 2 2 4 6 2" xfId="6672" xr:uid="{00000000-0005-0000-0000-00003C080000}"/>
    <cellStyle name="Comma 4 2 2 4 6 2 2" xfId="15122" xr:uid="{48FBACFC-C91E-4226-B5CE-69475D742147}"/>
    <cellStyle name="Comma 4 2 2 4 6 3" xfId="10904" xr:uid="{9E68F309-6EB4-423A-82E5-425BE4728041}"/>
    <cellStyle name="Comma 4 2 2 4 7" xfId="2375" xr:uid="{00000000-0005-0000-0000-00003D080000}"/>
    <cellStyle name="Comma 4 2 2 4 8" xfId="2766" xr:uid="{00000000-0005-0000-0000-00003E080000}"/>
    <cellStyle name="Comma 4 2 2 4 8 2" xfId="6989" xr:uid="{00000000-0005-0000-0000-00003F080000}"/>
    <cellStyle name="Comma 4 2 2 4 8 2 2" xfId="15439" xr:uid="{28D5F88A-2B39-4C59-8385-92BB6F116DAC}"/>
    <cellStyle name="Comma 4 2 2 4 8 3" xfId="11221" xr:uid="{B8EE8037-C4B5-40B3-ACF7-2437F6023F8B}"/>
    <cellStyle name="Comma 4 2 2 4 9" xfId="4606" xr:uid="{00000000-0005-0000-0000-000040080000}"/>
    <cellStyle name="Comma 4 2 2 4 9 2" xfId="13056" xr:uid="{7B657E3F-1415-4A77-8265-215805DDBDB3}"/>
    <cellStyle name="Comma 4 2 2 5" xfId="135" xr:uid="{00000000-0005-0000-0000-000041080000}"/>
    <cellStyle name="Comma 4 2 2 5 10" xfId="8839" xr:uid="{0251D28E-CC1A-4C63-B956-D5B186B4D3F9}"/>
    <cellStyle name="Comma 4 2 2 5 2" xfId="673" xr:uid="{00000000-0005-0000-0000-000042080000}"/>
    <cellStyle name="Comma 4 2 2 5 2 2" xfId="2944" xr:uid="{00000000-0005-0000-0000-000043080000}"/>
    <cellStyle name="Comma 4 2 2 5 2 2 2" xfId="7166" xr:uid="{00000000-0005-0000-0000-000044080000}"/>
    <cellStyle name="Comma 4 2 2 5 2 2 2 2" xfId="15616" xr:uid="{FA515DF2-EE7C-4804-B3C0-558BC307AC6B}"/>
    <cellStyle name="Comma 4 2 2 5 2 2 3" xfId="11398" xr:uid="{4FC7B552-098A-4114-8A6B-9156AE2F60F4}"/>
    <cellStyle name="Comma 4 2 2 5 2 3" xfId="5021" xr:uid="{00000000-0005-0000-0000-000045080000}"/>
    <cellStyle name="Comma 4 2 2 5 2 3 2" xfId="13471" xr:uid="{D5CE079D-2987-4F25-B976-D33E7ABC33C2}"/>
    <cellStyle name="Comma 4 2 2 5 2 4" xfId="9253" xr:uid="{031F2E13-0419-4006-8E4F-5A18892772F8}"/>
    <cellStyle name="Comma 4 2 2 5 3" xfId="1126" xr:uid="{00000000-0005-0000-0000-000046080000}"/>
    <cellStyle name="Comma 4 2 2 5 3 2" xfId="3357" xr:uid="{00000000-0005-0000-0000-000047080000}"/>
    <cellStyle name="Comma 4 2 2 5 3 2 2" xfId="7579" xr:uid="{00000000-0005-0000-0000-000048080000}"/>
    <cellStyle name="Comma 4 2 2 5 3 2 2 2" xfId="16029" xr:uid="{9B60EACF-C628-45F1-B613-73E6BB5F3476}"/>
    <cellStyle name="Comma 4 2 2 5 3 2 3" xfId="11811" xr:uid="{133F40FF-9644-4E6F-AE8D-DC003EDFDB15}"/>
    <cellStyle name="Comma 4 2 2 5 3 3" xfId="5434" xr:uid="{00000000-0005-0000-0000-000049080000}"/>
    <cellStyle name="Comma 4 2 2 5 3 3 2" xfId="13884" xr:uid="{3449C980-22DE-4BE7-B7C0-251D03F1828C}"/>
    <cellStyle name="Comma 4 2 2 5 3 4" xfId="9666" xr:uid="{EE32AFEC-87D0-461C-A77B-BE21DDA9A2AE}"/>
    <cellStyle name="Comma 4 2 2 5 4" xfId="1540" xr:uid="{00000000-0005-0000-0000-00004A080000}"/>
    <cellStyle name="Comma 4 2 2 5 4 2" xfId="3770" xr:uid="{00000000-0005-0000-0000-00004B080000}"/>
    <cellStyle name="Comma 4 2 2 5 4 2 2" xfId="7992" xr:uid="{00000000-0005-0000-0000-00004C080000}"/>
    <cellStyle name="Comma 4 2 2 5 4 2 2 2" xfId="16442" xr:uid="{B4B3E6EE-2A10-4EEC-876B-89FB1138AEF2}"/>
    <cellStyle name="Comma 4 2 2 5 4 2 3" xfId="12224" xr:uid="{78D974DC-AE2D-486A-93B9-96C6FC6031D1}"/>
    <cellStyle name="Comma 4 2 2 5 4 3" xfId="5847" xr:uid="{00000000-0005-0000-0000-00004D080000}"/>
    <cellStyle name="Comma 4 2 2 5 4 3 2" xfId="14297" xr:uid="{A04334FD-EC8F-41EA-B28F-DF6DD7445270}"/>
    <cellStyle name="Comma 4 2 2 5 4 4" xfId="10079" xr:uid="{4E27D9A7-03F6-4E5C-8C02-DCBB5AE2F00A}"/>
    <cellStyle name="Comma 4 2 2 5 5" xfId="1954" xr:uid="{00000000-0005-0000-0000-00004E080000}"/>
    <cellStyle name="Comma 4 2 2 5 5 2" xfId="4183" xr:uid="{00000000-0005-0000-0000-00004F080000}"/>
    <cellStyle name="Comma 4 2 2 5 5 2 2" xfId="8405" xr:uid="{00000000-0005-0000-0000-000050080000}"/>
    <cellStyle name="Comma 4 2 2 5 5 2 2 2" xfId="16855" xr:uid="{048098DF-8A07-4AB0-A655-F51881C1AFDE}"/>
    <cellStyle name="Comma 4 2 2 5 5 2 3" xfId="12637" xr:uid="{E2BF3518-42C5-4A41-B159-3CF651FFCC34}"/>
    <cellStyle name="Comma 4 2 2 5 5 3" xfId="6260" xr:uid="{00000000-0005-0000-0000-000051080000}"/>
    <cellStyle name="Comma 4 2 2 5 5 3 2" xfId="14710" xr:uid="{81C2A560-F7F3-465A-8C80-D3B48A2C97FE}"/>
    <cellStyle name="Comma 4 2 2 5 5 4" xfId="10492" xr:uid="{5A930ABF-E276-4F04-B3CE-5FAB47E097BD}"/>
    <cellStyle name="Comma 4 2 2 5 6" xfId="2389" xr:uid="{00000000-0005-0000-0000-000052080000}"/>
    <cellStyle name="Comma 4 2 2 5 6 2" xfId="6673" xr:uid="{00000000-0005-0000-0000-000053080000}"/>
    <cellStyle name="Comma 4 2 2 5 6 2 2" xfId="15123" xr:uid="{22CD5797-ACD6-4458-869A-87685DF66DD1}"/>
    <cellStyle name="Comma 4 2 2 5 6 3" xfId="10905" xr:uid="{57F0F4CC-19A3-42E5-A73F-79D7D3FB7200}"/>
    <cellStyle name="Comma 4 2 2 5 7" xfId="2374" xr:uid="{00000000-0005-0000-0000-000054080000}"/>
    <cellStyle name="Comma 4 2 2 5 8" xfId="2767" xr:uid="{00000000-0005-0000-0000-000055080000}"/>
    <cellStyle name="Comma 4 2 2 5 8 2" xfId="6990" xr:uid="{00000000-0005-0000-0000-000056080000}"/>
    <cellStyle name="Comma 4 2 2 5 8 2 2" xfId="15440" xr:uid="{42CB4EDD-23E5-412F-9C03-423D9690A601}"/>
    <cellStyle name="Comma 4 2 2 5 8 3" xfId="11222" xr:uid="{876D5241-6FD4-4454-A225-228E3EB95ADD}"/>
    <cellStyle name="Comma 4 2 2 5 9" xfId="4607" xr:uid="{00000000-0005-0000-0000-000057080000}"/>
    <cellStyle name="Comma 4 2 2 5 9 2" xfId="13057" xr:uid="{B684D4C6-FEA6-4166-9E90-5CA15C28EEF7}"/>
    <cellStyle name="Comma 4 2 3" xfId="136" xr:uid="{00000000-0005-0000-0000-000058080000}"/>
    <cellStyle name="Comma 4 2 3 10" xfId="2768" xr:uid="{00000000-0005-0000-0000-000059080000}"/>
    <cellStyle name="Comma 4 2 3 10 2" xfId="6991" xr:uid="{00000000-0005-0000-0000-00005A080000}"/>
    <cellStyle name="Comma 4 2 3 10 2 2" xfId="15441" xr:uid="{D0F3BEDA-91D6-4143-B043-BED8E8B6AD21}"/>
    <cellStyle name="Comma 4 2 3 10 3" xfId="11223" xr:uid="{D073033A-71A8-430D-8F33-166A426E7640}"/>
    <cellStyle name="Comma 4 2 3 11" xfId="4608" xr:uid="{00000000-0005-0000-0000-00005B080000}"/>
    <cellStyle name="Comma 4 2 3 11 2" xfId="13058" xr:uid="{92C2C799-5859-460E-8C3D-E10C59C21C5F}"/>
    <cellStyle name="Comma 4 2 3 12" xfId="8840" xr:uid="{307EE489-3856-4C93-B753-8F978561E9BF}"/>
    <cellStyle name="Comma 4 2 3 2" xfId="137" xr:uid="{00000000-0005-0000-0000-00005C080000}"/>
    <cellStyle name="Comma 4 2 3 2 10" xfId="4609" xr:uid="{00000000-0005-0000-0000-00005D080000}"/>
    <cellStyle name="Comma 4 2 3 2 10 2" xfId="13059" xr:uid="{810F6BF3-D899-4B9D-9758-2026BDF8E758}"/>
    <cellStyle name="Comma 4 2 3 2 11" xfId="8841" xr:uid="{C9F2D876-A951-45C5-A547-0A645BAA90B2}"/>
    <cellStyle name="Comma 4 2 3 2 2" xfId="138" xr:uid="{00000000-0005-0000-0000-00005E080000}"/>
    <cellStyle name="Comma 4 2 3 2 2 10" xfId="8842" xr:uid="{6139C127-95D9-4D1C-968E-E68E0DB3EECD}"/>
    <cellStyle name="Comma 4 2 3 2 2 2" xfId="676" xr:uid="{00000000-0005-0000-0000-00005F080000}"/>
    <cellStyle name="Comma 4 2 3 2 2 2 2" xfId="2947" xr:uid="{00000000-0005-0000-0000-000060080000}"/>
    <cellStyle name="Comma 4 2 3 2 2 2 2 2" xfId="7169" xr:uid="{00000000-0005-0000-0000-000061080000}"/>
    <cellStyle name="Comma 4 2 3 2 2 2 2 2 2" xfId="15619" xr:uid="{CC983E2B-E801-493A-9C66-0D71C0B5570F}"/>
    <cellStyle name="Comma 4 2 3 2 2 2 2 3" xfId="11401" xr:uid="{7547DE68-D7E3-490B-9186-F8CE392EB3FC}"/>
    <cellStyle name="Comma 4 2 3 2 2 2 3" xfId="5024" xr:uid="{00000000-0005-0000-0000-000062080000}"/>
    <cellStyle name="Comma 4 2 3 2 2 2 3 2" xfId="13474" xr:uid="{A766F4C2-8106-4F12-AC27-361FEEBB4DD1}"/>
    <cellStyle name="Comma 4 2 3 2 2 2 4" xfId="9256" xr:uid="{261B7EEB-FD64-4046-A047-BD4A0F1DC267}"/>
    <cellStyle name="Comma 4 2 3 2 2 3" xfId="1129" xr:uid="{00000000-0005-0000-0000-000063080000}"/>
    <cellStyle name="Comma 4 2 3 2 2 3 2" xfId="3360" xr:uid="{00000000-0005-0000-0000-000064080000}"/>
    <cellStyle name="Comma 4 2 3 2 2 3 2 2" xfId="7582" xr:uid="{00000000-0005-0000-0000-000065080000}"/>
    <cellStyle name="Comma 4 2 3 2 2 3 2 2 2" xfId="16032" xr:uid="{877AB956-38C1-4E16-93CC-2C9CBC09D1C1}"/>
    <cellStyle name="Comma 4 2 3 2 2 3 2 3" xfId="11814" xr:uid="{5C0CC502-8C02-40C2-9DEE-30D931EF840F}"/>
    <cellStyle name="Comma 4 2 3 2 2 3 3" xfId="5437" xr:uid="{00000000-0005-0000-0000-000066080000}"/>
    <cellStyle name="Comma 4 2 3 2 2 3 3 2" xfId="13887" xr:uid="{8500817D-A407-4A37-9891-CA4141CB4AAE}"/>
    <cellStyle name="Comma 4 2 3 2 2 3 4" xfId="9669" xr:uid="{5D54BF4B-8013-4504-996D-F90021D8EA88}"/>
    <cellStyle name="Comma 4 2 3 2 2 4" xfId="1543" xr:uid="{00000000-0005-0000-0000-000067080000}"/>
    <cellStyle name="Comma 4 2 3 2 2 4 2" xfId="3773" xr:uid="{00000000-0005-0000-0000-000068080000}"/>
    <cellStyle name="Comma 4 2 3 2 2 4 2 2" xfId="7995" xr:uid="{00000000-0005-0000-0000-000069080000}"/>
    <cellStyle name="Comma 4 2 3 2 2 4 2 2 2" xfId="16445" xr:uid="{9CB1B800-792A-4BCB-8964-A9EC42B184C6}"/>
    <cellStyle name="Comma 4 2 3 2 2 4 2 3" xfId="12227" xr:uid="{974EC2EC-3E7F-4B7D-89CF-1C9A15E7D1B4}"/>
    <cellStyle name="Comma 4 2 3 2 2 4 3" xfId="5850" xr:uid="{00000000-0005-0000-0000-00006A080000}"/>
    <cellStyle name="Comma 4 2 3 2 2 4 3 2" xfId="14300" xr:uid="{895B2E5C-11AF-423E-AC2E-0862A846DC6F}"/>
    <cellStyle name="Comma 4 2 3 2 2 4 4" xfId="10082" xr:uid="{0F32A22D-9215-4A04-BFD2-6DE917ABF247}"/>
    <cellStyle name="Comma 4 2 3 2 2 5" xfId="1957" xr:uid="{00000000-0005-0000-0000-00006B080000}"/>
    <cellStyle name="Comma 4 2 3 2 2 5 2" xfId="4186" xr:uid="{00000000-0005-0000-0000-00006C080000}"/>
    <cellStyle name="Comma 4 2 3 2 2 5 2 2" xfId="8408" xr:uid="{00000000-0005-0000-0000-00006D080000}"/>
    <cellStyle name="Comma 4 2 3 2 2 5 2 2 2" xfId="16858" xr:uid="{6A004073-572F-4862-AEFE-ED54626F79D2}"/>
    <cellStyle name="Comma 4 2 3 2 2 5 2 3" xfId="12640" xr:uid="{13B30FDB-19B0-46D5-A7AE-8B1562490D3E}"/>
    <cellStyle name="Comma 4 2 3 2 2 5 3" xfId="6263" xr:uid="{00000000-0005-0000-0000-00006E080000}"/>
    <cellStyle name="Comma 4 2 3 2 2 5 3 2" xfId="14713" xr:uid="{A035B275-3441-4A65-842F-B679920F34BB}"/>
    <cellStyle name="Comma 4 2 3 2 2 5 4" xfId="10495" xr:uid="{050189F2-CE1B-4574-9CDB-86E3B15E7882}"/>
    <cellStyle name="Comma 4 2 3 2 2 6" xfId="2392" xr:uid="{00000000-0005-0000-0000-00006F080000}"/>
    <cellStyle name="Comma 4 2 3 2 2 6 2" xfId="6676" xr:uid="{00000000-0005-0000-0000-000070080000}"/>
    <cellStyle name="Comma 4 2 3 2 2 6 2 2" xfId="15126" xr:uid="{FB6C5E60-2187-40DF-855C-F36892AE3924}"/>
    <cellStyle name="Comma 4 2 3 2 2 6 3" xfId="10908" xr:uid="{839598C7-CAD5-45E0-907B-6E5F88776F65}"/>
    <cellStyle name="Comma 4 2 3 2 2 7" xfId="2371" xr:uid="{00000000-0005-0000-0000-000071080000}"/>
    <cellStyle name="Comma 4 2 3 2 2 8" xfId="2770" xr:uid="{00000000-0005-0000-0000-000072080000}"/>
    <cellStyle name="Comma 4 2 3 2 2 8 2" xfId="6993" xr:uid="{00000000-0005-0000-0000-000073080000}"/>
    <cellStyle name="Comma 4 2 3 2 2 8 2 2" xfId="15443" xr:uid="{80582128-5AA2-4B5F-8211-D33CE5620A05}"/>
    <cellStyle name="Comma 4 2 3 2 2 8 3" xfId="11225" xr:uid="{33833581-DD0B-4C66-928C-8DF182646807}"/>
    <cellStyle name="Comma 4 2 3 2 2 9" xfId="4610" xr:uid="{00000000-0005-0000-0000-000074080000}"/>
    <cellStyle name="Comma 4 2 3 2 2 9 2" xfId="13060" xr:uid="{A259BCB7-196A-4ED0-89CB-0E4ADB30A5AC}"/>
    <cellStyle name="Comma 4 2 3 2 3" xfId="675" xr:uid="{00000000-0005-0000-0000-000075080000}"/>
    <cellStyle name="Comma 4 2 3 2 3 2" xfId="2946" xr:uid="{00000000-0005-0000-0000-000076080000}"/>
    <cellStyle name="Comma 4 2 3 2 3 2 2" xfId="7168" xr:uid="{00000000-0005-0000-0000-000077080000}"/>
    <cellStyle name="Comma 4 2 3 2 3 2 2 2" xfId="15618" xr:uid="{3708772E-53F2-4FE3-B488-B43C9F6537B9}"/>
    <cellStyle name="Comma 4 2 3 2 3 2 3" xfId="11400" xr:uid="{7F9D6CB5-A418-47A9-9DD0-F3165768309A}"/>
    <cellStyle name="Comma 4 2 3 2 3 3" xfId="5023" xr:uid="{00000000-0005-0000-0000-000078080000}"/>
    <cellStyle name="Comma 4 2 3 2 3 3 2" xfId="13473" xr:uid="{009006F0-129C-4738-A16C-28A3A51AC11C}"/>
    <cellStyle name="Comma 4 2 3 2 3 4" xfId="9255" xr:uid="{FBEFF3B9-7BB3-4A2A-9D3A-3FFD7CA464A5}"/>
    <cellStyle name="Comma 4 2 3 2 4" xfId="1128" xr:uid="{00000000-0005-0000-0000-000079080000}"/>
    <cellStyle name="Comma 4 2 3 2 4 2" xfId="3359" xr:uid="{00000000-0005-0000-0000-00007A080000}"/>
    <cellStyle name="Comma 4 2 3 2 4 2 2" xfId="7581" xr:uid="{00000000-0005-0000-0000-00007B080000}"/>
    <cellStyle name="Comma 4 2 3 2 4 2 2 2" xfId="16031" xr:uid="{A4EA2BC1-F969-4632-AAC7-7EF872AC3B7E}"/>
    <cellStyle name="Comma 4 2 3 2 4 2 3" xfId="11813" xr:uid="{F696BB5C-D610-49EC-BB5A-3EFF0CF6E2F5}"/>
    <cellStyle name="Comma 4 2 3 2 4 3" xfId="5436" xr:uid="{00000000-0005-0000-0000-00007C080000}"/>
    <cellStyle name="Comma 4 2 3 2 4 3 2" xfId="13886" xr:uid="{E0EC5433-06AD-4537-8300-FC2E8A997CD3}"/>
    <cellStyle name="Comma 4 2 3 2 4 4" xfId="9668" xr:uid="{BA8FB615-68B3-41D8-9450-9643AD6B2D80}"/>
    <cellStyle name="Comma 4 2 3 2 5" xfId="1542" xr:uid="{00000000-0005-0000-0000-00007D080000}"/>
    <cellStyle name="Comma 4 2 3 2 5 2" xfId="3772" xr:uid="{00000000-0005-0000-0000-00007E080000}"/>
    <cellStyle name="Comma 4 2 3 2 5 2 2" xfId="7994" xr:uid="{00000000-0005-0000-0000-00007F080000}"/>
    <cellStyle name="Comma 4 2 3 2 5 2 2 2" xfId="16444" xr:uid="{7B97FA5A-59D6-41AC-A1CA-93E75E570C01}"/>
    <cellStyle name="Comma 4 2 3 2 5 2 3" xfId="12226" xr:uid="{6AAA56F2-7F2D-4896-B1F5-E93DB71A7E54}"/>
    <cellStyle name="Comma 4 2 3 2 5 3" xfId="5849" xr:uid="{00000000-0005-0000-0000-000080080000}"/>
    <cellStyle name="Comma 4 2 3 2 5 3 2" xfId="14299" xr:uid="{A01CC81D-FECE-4021-82EF-64ED78308E28}"/>
    <cellStyle name="Comma 4 2 3 2 5 4" xfId="10081" xr:uid="{44D8E424-A9A2-47A5-B7BA-392D999BED6D}"/>
    <cellStyle name="Comma 4 2 3 2 6" xfId="1956" xr:uid="{00000000-0005-0000-0000-000081080000}"/>
    <cellStyle name="Comma 4 2 3 2 6 2" xfId="4185" xr:uid="{00000000-0005-0000-0000-000082080000}"/>
    <cellStyle name="Comma 4 2 3 2 6 2 2" xfId="8407" xr:uid="{00000000-0005-0000-0000-000083080000}"/>
    <cellStyle name="Comma 4 2 3 2 6 2 2 2" xfId="16857" xr:uid="{751CE9C1-1495-482E-9BCF-3BDBD222BBDF}"/>
    <cellStyle name="Comma 4 2 3 2 6 2 3" xfId="12639" xr:uid="{4DC6864E-FCE1-486D-BD42-236C3251FF1B}"/>
    <cellStyle name="Comma 4 2 3 2 6 3" xfId="6262" xr:uid="{00000000-0005-0000-0000-000084080000}"/>
    <cellStyle name="Comma 4 2 3 2 6 3 2" xfId="14712" xr:uid="{0BCE0AFF-18E8-4C8C-854E-AC12AD5318B2}"/>
    <cellStyle name="Comma 4 2 3 2 6 4" xfId="10494" xr:uid="{4D60E31D-9289-43E7-8548-02A4C0112887}"/>
    <cellStyle name="Comma 4 2 3 2 7" xfId="2391" xr:uid="{00000000-0005-0000-0000-000085080000}"/>
    <cellStyle name="Comma 4 2 3 2 7 2" xfId="6675" xr:uid="{00000000-0005-0000-0000-000086080000}"/>
    <cellStyle name="Comma 4 2 3 2 7 2 2" xfId="15125" xr:uid="{82929B27-1F1E-44B0-BBC7-40FA859B21E3}"/>
    <cellStyle name="Comma 4 2 3 2 7 3" xfId="10907" xr:uid="{76754DFE-86F0-471D-8341-1698B569FC5A}"/>
    <cellStyle name="Comma 4 2 3 2 8" xfId="2372" xr:uid="{00000000-0005-0000-0000-000087080000}"/>
    <cellStyle name="Comma 4 2 3 2 9" xfId="2769" xr:uid="{00000000-0005-0000-0000-000088080000}"/>
    <cellStyle name="Comma 4 2 3 2 9 2" xfId="6992" xr:uid="{00000000-0005-0000-0000-000089080000}"/>
    <cellStyle name="Comma 4 2 3 2 9 2 2" xfId="15442" xr:uid="{7C6CC817-C48C-4E15-B7A2-1DEEE1E60332}"/>
    <cellStyle name="Comma 4 2 3 2 9 3" xfId="11224" xr:uid="{CADF0421-47E2-49DE-A516-FA61DFF5B15B}"/>
    <cellStyle name="Comma 4 2 3 3" xfId="139" xr:uid="{00000000-0005-0000-0000-00008A080000}"/>
    <cellStyle name="Comma 4 2 3 3 10" xfId="8843" xr:uid="{323A7CD0-D67C-4F6B-A6E7-DC7B737AB0B9}"/>
    <cellStyle name="Comma 4 2 3 3 2" xfId="677" xr:uid="{00000000-0005-0000-0000-00008B080000}"/>
    <cellStyle name="Comma 4 2 3 3 2 2" xfId="2948" xr:uid="{00000000-0005-0000-0000-00008C080000}"/>
    <cellStyle name="Comma 4 2 3 3 2 2 2" xfId="7170" xr:uid="{00000000-0005-0000-0000-00008D080000}"/>
    <cellStyle name="Comma 4 2 3 3 2 2 2 2" xfId="15620" xr:uid="{56A3BCE5-5B39-4E23-A710-EF90117652C4}"/>
    <cellStyle name="Comma 4 2 3 3 2 2 3" xfId="11402" xr:uid="{CC681DB0-AB27-4043-9161-A80FFB4E8983}"/>
    <cellStyle name="Comma 4 2 3 3 2 3" xfId="5025" xr:uid="{00000000-0005-0000-0000-00008E080000}"/>
    <cellStyle name="Comma 4 2 3 3 2 3 2" xfId="13475" xr:uid="{FD1CA033-8CBB-4950-ACF5-D47A9A7D1940}"/>
    <cellStyle name="Comma 4 2 3 3 2 4" xfId="9257" xr:uid="{B54B28F1-8E9B-4720-ACFF-1F40EF315F18}"/>
    <cellStyle name="Comma 4 2 3 3 3" xfId="1130" xr:uid="{00000000-0005-0000-0000-00008F080000}"/>
    <cellStyle name="Comma 4 2 3 3 3 2" xfId="3361" xr:uid="{00000000-0005-0000-0000-000090080000}"/>
    <cellStyle name="Comma 4 2 3 3 3 2 2" xfId="7583" xr:uid="{00000000-0005-0000-0000-000091080000}"/>
    <cellStyle name="Comma 4 2 3 3 3 2 2 2" xfId="16033" xr:uid="{67F052F0-A4E2-45AF-8A3D-503B77DBC3EF}"/>
    <cellStyle name="Comma 4 2 3 3 3 2 3" xfId="11815" xr:uid="{2B14A9B0-C6AD-4AD3-BB08-50431A569CEA}"/>
    <cellStyle name="Comma 4 2 3 3 3 3" xfId="5438" xr:uid="{00000000-0005-0000-0000-000092080000}"/>
    <cellStyle name="Comma 4 2 3 3 3 3 2" xfId="13888" xr:uid="{3C9D0F6F-8C49-4767-B8C7-7F1502CA2286}"/>
    <cellStyle name="Comma 4 2 3 3 3 4" xfId="9670" xr:uid="{3DF0FFAC-4DC6-4BD0-A791-8939946EB673}"/>
    <cellStyle name="Comma 4 2 3 3 4" xfId="1544" xr:uid="{00000000-0005-0000-0000-000093080000}"/>
    <cellStyle name="Comma 4 2 3 3 4 2" xfId="3774" xr:uid="{00000000-0005-0000-0000-000094080000}"/>
    <cellStyle name="Comma 4 2 3 3 4 2 2" xfId="7996" xr:uid="{00000000-0005-0000-0000-000095080000}"/>
    <cellStyle name="Comma 4 2 3 3 4 2 2 2" xfId="16446" xr:uid="{64DEAC1E-DE57-4103-9D27-B94F1BEB41B9}"/>
    <cellStyle name="Comma 4 2 3 3 4 2 3" xfId="12228" xr:uid="{E4414E2D-DA54-4B1B-8AAC-65C9BBB2C1E5}"/>
    <cellStyle name="Comma 4 2 3 3 4 3" xfId="5851" xr:uid="{00000000-0005-0000-0000-000096080000}"/>
    <cellStyle name="Comma 4 2 3 3 4 3 2" xfId="14301" xr:uid="{B4485033-4F46-4B25-B4B6-E0C141C956CE}"/>
    <cellStyle name="Comma 4 2 3 3 4 4" xfId="10083" xr:uid="{0D728255-BEDC-4283-B3CC-4F4E9452F3B6}"/>
    <cellStyle name="Comma 4 2 3 3 5" xfId="1958" xr:uid="{00000000-0005-0000-0000-000097080000}"/>
    <cellStyle name="Comma 4 2 3 3 5 2" xfId="4187" xr:uid="{00000000-0005-0000-0000-000098080000}"/>
    <cellStyle name="Comma 4 2 3 3 5 2 2" xfId="8409" xr:uid="{00000000-0005-0000-0000-000099080000}"/>
    <cellStyle name="Comma 4 2 3 3 5 2 2 2" xfId="16859" xr:uid="{29FB9406-D619-4B93-AAE2-6DBE176FAC9E}"/>
    <cellStyle name="Comma 4 2 3 3 5 2 3" xfId="12641" xr:uid="{B6166B0C-330A-4C27-8669-3EE2C3C0437F}"/>
    <cellStyle name="Comma 4 2 3 3 5 3" xfId="6264" xr:uid="{00000000-0005-0000-0000-00009A080000}"/>
    <cellStyle name="Comma 4 2 3 3 5 3 2" xfId="14714" xr:uid="{F54A6582-26D5-44A2-8DD0-00FFDB94F5CE}"/>
    <cellStyle name="Comma 4 2 3 3 5 4" xfId="10496" xr:uid="{12203C55-E826-45EA-872A-6536B6E3DCD1}"/>
    <cellStyle name="Comma 4 2 3 3 6" xfId="2393" xr:uid="{00000000-0005-0000-0000-00009B080000}"/>
    <cellStyle name="Comma 4 2 3 3 6 2" xfId="6677" xr:uid="{00000000-0005-0000-0000-00009C080000}"/>
    <cellStyle name="Comma 4 2 3 3 6 2 2" xfId="15127" xr:uid="{F24800C3-C17A-4462-8220-E55BCD3E0551}"/>
    <cellStyle name="Comma 4 2 3 3 6 3" xfId="10909" xr:uid="{01DE6109-4949-4024-9258-BDC2BC94D310}"/>
    <cellStyle name="Comma 4 2 3 3 7" xfId="2370" xr:uid="{00000000-0005-0000-0000-00009D080000}"/>
    <cellStyle name="Comma 4 2 3 3 8" xfId="2771" xr:uid="{00000000-0005-0000-0000-00009E080000}"/>
    <cellStyle name="Comma 4 2 3 3 8 2" xfId="6994" xr:uid="{00000000-0005-0000-0000-00009F080000}"/>
    <cellStyle name="Comma 4 2 3 3 8 2 2" xfId="15444" xr:uid="{9C6121C4-C821-4291-B0D9-975CCD95AC18}"/>
    <cellStyle name="Comma 4 2 3 3 8 3" xfId="11226" xr:uid="{178178B0-B4A7-48BA-812A-7BB433CD53F7}"/>
    <cellStyle name="Comma 4 2 3 3 9" xfId="4611" xr:uid="{00000000-0005-0000-0000-0000A0080000}"/>
    <cellStyle name="Comma 4 2 3 3 9 2" xfId="13061" xr:uid="{5BCB6438-F91E-4A37-967E-D2F61EA265D9}"/>
    <cellStyle name="Comma 4 2 3 4" xfId="674" xr:uid="{00000000-0005-0000-0000-0000A1080000}"/>
    <cellStyle name="Comma 4 2 3 4 2" xfId="2945" xr:uid="{00000000-0005-0000-0000-0000A2080000}"/>
    <cellStyle name="Comma 4 2 3 4 2 2" xfId="7167" xr:uid="{00000000-0005-0000-0000-0000A3080000}"/>
    <cellStyle name="Comma 4 2 3 4 2 2 2" xfId="15617" xr:uid="{91676701-353A-4F4F-8276-478C83E4973B}"/>
    <cellStyle name="Comma 4 2 3 4 2 3" xfId="11399" xr:uid="{A4743A78-1BC0-4253-BFC0-727018194D41}"/>
    <cellStyle name="Comma 4 2 3 4 3" xfId="5022" xr:uid="{00000000-0005-0000-0000-0000A4080000}"/>
    <cellStyle name="Comma 4 2 3 4 3 2" xfId="13472" xr:uid="{0809C062-3299-4F87-B3F0-3163448360C2}"/>
    <cellStyle name="Comma 4 2 3 4 4" xfId="9254" xr:uid="{333F623D-7274-4997-88D4-3060CB1715D5}"/>
    <cellStyle name="Comma 4 2 3 5" xfId="1127" xr:uid="{00000000-0005-0000-0000-0000A5080000}"/>
    <cellStyle name="Comma 4 2 3 5 2" xfId="3358" xr:uid="{00000000-0005-0000-0000-0000A6080000}"/>
    <cellStyle name="Comma 4 2 3 5 2 2" xfId="7580" xr:uid="{00000000-0005-0000-0000-0000A7080000}"/>
    <cellStyle name="Comma 4 2 3 5 2 2 2" xfId="16030" xr:uid="{C5836537-6734-461A-A601-F58DD3EACF15}"/>
    <cellStyle name="Comma 4 2 3 5 2 3" xfId="11812" xr:uid="{3AE059AF-A694-4A2E-B55E-0177788E70F7}"/>
    <cellStyle name="Comma 4 2 3 5 3" xfId="5435" xr:uid="{00000000-0005-0000-0000-0000A8080000}"/>
    <cellStyle name="Comma 4 2 3 5 3 2" xfId="13885" xr:uid="{77B08D38-1410-4DEB-958F-0652EF01BDBD}"/>
    <cellStyle name="Comma 4 2 3 5 4" xfId="9667" xr:uid="{91C358EA-69B2-449F-8581-6372BC71DD1E}"/>
    <cellStyle name="Comma 4 2 3 6" xfId="1541" xr:uid="{00000000-0005-0000-0000-0000A9080000}"/>
    <cellStyle name="Comma 4 2 3 6 2" xfId="3771" xr:uid="{00000000-0005-0000-0000-0000AA080000}"/>
    <cellStyle name="Comma 4 2 3 6 2 2" xfId="7993" xr:uid="{00000000-0005-0000-0000-0000AB080000}"/>
    <cellStyle name="Comma 4 2 3 6 2 2 2" xfId="16443" xr:uid="{21EF41B6-E6B4-442D-B2A0-02E3706DD420}"/>
    <cellStyle name="Comma 4 2 3 6 2 3" xfId="12225" xr:uid="{5A91CBED-F572-4A46-B366-4491C3577616}"/>
    <cellStyle name="Comma 4 2 3 6 3" xfId="5848" xr:uid="{00000000-0005-0000-0000-0000AC080000}"/>
    <cellStyle name="Comma 4 2 3 6 3 2" xfId="14298" xr:uid="{54B98E8B-CEC7-4573-AE64-6616E95A7115}"/>
    <cellStyle name="Comma 4 2 3 6 4" xfId="10080" xr:uid="{774D8235-4B24-4C4E-8141-6D594DCF16B0}"/>
    <cellStyle name="Comma 4 2 3 7" xfId="1955" xr:uid="{00000000-0005-0000-0000-0000AD080000}"/>
    <cellStyle name="Comma 4 2 3 7 2" xfId="4184" xr:uid="{00000000-0005-0000-0000-0000AE080000}"/>
    <cellStyle name="Comma 4 2 3 7 2 2" xfId="8406" xr:uid="{00000000-0005-0000-0000-0000AF080000}"/>
    <cellStyle name="Comma 4 2 3 7 2 2 2" xfId="16856" xr:uid="{7076ADBA-FCC1-4BA9-ACDD-D40BE746695D}"/>
    <cellStyle name="Comma 4 2 3 7 2 3" xfId="12638" xr:uid="{B48AA3E3-2C1F-4382-9172-37EB6EC52852}"/>
    <cellStyle name="Comma 4 2 3 7 3" xfId="6261" xr:uid="{00000000-0005-0000-0000-0000B0080000}"/>
    <cellStyle name="Comma 4 2 3 7 3 2" xfId="14711" xr:uid="{D9B06B0C-C2B6-43DD-A889-D6A6BB0C524E}"/>
    <cellStyle name="Comma 4 2 3 7 4" xfId="10493" xr:uid="{EE735069-775A-4E36-9D2E-5BF4AD0ADD37}"/>
    <cellStyle name="Comma 4 2 3 8" xfId="2390" xr:uid="{00000000-0005-0000-0000-0000B1080000}"/>
    <cellStyle name="Comma 4 2 3 8 2" xfId="6674" xr:uid="{00000000-0005-0000-0000-0000B2080000}"/>
    <cellStyle name="Comma 4 2 3 8 2 2" xfId="15124" xr:uid="{90341AF3-3D27-4B26-B091-FAFA5180482B}"/>
    <cellStyle name="Comma 4 2 3 8 3" xfId="10906" xr:uid="{04C5CEAB-B751-4455-9BB9-315CE27E388C}"/>
    <cellStyle name="Comma 4 2 3 9" xfId="2373" xr:uid="{00000000-0005-0000-0000-0000B3080000}"/>
    <cellStyle name="Comma 4 2 4" xfId="140" xr:uid="{00000000-0005-0000-0000-0000B4080000}"/>
    <cellStyle name="Comma 4 2 4 10" xfId="4612" xr:uid="{00000000-0005-0000-0000-0000B5080000}"/>
    <cellStyle name="Comma 4 2 4 10 2" xfId="13062" xr:uid="{C79DE3F8-D3BB-4DD2-9B4F-F920483F8911}"/>
    <cellStyle name="Comma 4 2 4 11" xfId="8844" xr:uid="{B57F78E0-61C9-465F-8B0A-BA080022B761}"/>
    <cellStyle name="Comma 4 2 4 2" xfId="141" xr:uid="{00000000-0005-0000-0000-0000B6080000}"/>
    <cellStyle name="Comma 4 2 4 2 10" xfId="8845" xr:uid="{BF2A0F31-CE80-49F2-A8D7-7251D7BF2B8D}"/>
    <cellStyle name="Comma 4 2 4 2 2" xfId="679" xr:uid="{00000000-0005-0000-0000-0000B7080000}"/>
    <cellStyle name="Comma 4 2 4 2 2 2" xfId="2950" xr:uid="{00000000-0005-0000-0000-0000B8080000}"/>
    <cellStyle name="Comma 4 2 4 2 2 2 2" xfId="7172" xr:uid="{00000000-0005-0000-0000-0000B9080000}"/>
    <cellStyle name="Comma 4 2 4 2 2 2 2 2" xfId="15622" xr:uid="{CB9FB34C-147A-49B0-B5C1-69019E5BFFCE}"/>
    <cellStyle name="Comma 4 2 4 2 2 2 3" xfId="11404" xr:uid="{9BE3CC7D-BD29-478A-9ACA-8949BB1DF3F3}"/>
    <cellStyle name="Comma 4 2 4 2 2 3" xfId="5027" xr:uid="{00000000-0005-0000-0000-0000BA080000}"/>
    <cellStyle name="Comma 4 2 4 2 2 3 2" xfId="13477" xr:uid="{2A244184-628D-46F1-9000-E5358954B05C}"/>
    <cellStyle name="Comma 4 2 4 2 2 4" xfId="9259" xr:uid="{E3B4ACE7-A04B-4F3F-97F7-6944E973C9F0}"/>
    <cellStyle name="Comma 4 2 4 2 3" xfId="1132" xr:uid="{00000000-0005-0000-0000-0000BB080000}"/>
    <cellStyle name="Comma 4 2 4 2 3 2" xfId="3363" xr:uid="{00000000-0005-0000-0000-0000BC080000}"/>
    <cellStyle name="Comma 4 2 4 2 3 2 2" xfId="7585" xr:uid="{00000000-0005-0000-0000-0000BD080000}"/>
    <cellStyle name="Comma 4 2 4 2 3 2 2 2" xfId="16035" xr:uid="{3B690F50-DF15-4B87-8059-9AAAFC5BA182}"/>
    <cellStyle name="Comma 4 2 4 2 3 2 3" xfId="11817" xr:uid="{5BD4E097-91CF-40EA-B4D7-1ECDB1288FA1}"/>
    <cellStyle name="Comma 4 2 4 2 3 3" xfId="5440" xr:uid="{00000000-0005-0000-0000-0000BE080000}"/>
    <cellStyle name="Comma 4 2 4 2 3 3 2" xfId="13890" xr:uid="{C6B016D9-4611-465F-ABD2-AC08B63B92C1}"/>
    <cellStyle name="Comma 4 2 4 2 3 4" xfId="9672" xr:uid="{95A04FD2-272E-4F84-8498-04F6A721172A}"/>
    <cellStyle name="Comma 4 2 4 2 4" xfId="1546" xr:uid="{00000000-0005-0000-0000-0000BF080000}"/>
    <cellStyle name="Comma 4 2 4 2 4 2" xfId="3776" xr:uid="{00000000-0005-0000-0000-0000C0080000}"/>
    <cellStyle name="Comma 4 2 4 2 4 2 2" xfId="7998" xr:uid="{00000000-0005-0000-0000-0000C1080000}"/>
    <cellStyle name="Comma 4 2 4 2 4 2 2 2" xfId="16448" xr:uid="{1A232A6D-725D-4E00-B7AD-5CE60385C6C2}"/>
    <cellStyle name="Comma 4 2 4 2 4 2 3" xfId="12230" xr:uid="{15682095-7A18-4F98-BD50-788997B06557}"/>
    <cellStyle name="Comma 4 2 4 2 4 3" xfId="5853" xr:uid="{00000000-0005-0000-0000-0000C2080000}"/>
    <cellStyle name="Comma 4 2 4 2 4 3 2" xfId="14303" xr:uid="{82D5E183-FAF9-4747-8EE0-880100EA8D49}"/>
    <cellStyle name="Comma 4 2 4 2 4 4" xfId="10085" xr:uid="{0151AC20-374F-464F-9F24-9717FFCD4947}"/>
    <cellStyle name="Comma 4 2 4 2 5" xfId="1960" xr:uid="{00000000-0005-0000-0000-0000C3080000}"/>
    <cellStyle name="Comma 4 2 4 2 5 2" xfId="4189" xr:uid="{00000000-0005-0000-0000-0000C4080000}"/>
    <cellStyle name="Comma 4 2 4 2 5 2 2" xfId="8411" xr:uid="{00000000-0005-0000-0000-0000C5080000}"/>
    <cellStyle name="Comma 4 2 4 2 5 2 2 2" xfId="16861" xr:uid="{F31972CA-4E4B-4B6D-A57F-361BD066E961}"/>
    <cellStyle name="Comma 4 2 4 2 5 2 3" xfId="12643" xr:uid="{53033B26-8863-44BD-9FD1-B18452641D54}"/>
    <cellStyle name="Comma 4 2 4 2 5 3" xfId="6266" xr:uid="{00000000-0005-0000-0000-0000C6080000}"/>
    <cellStyle name="Comma 4 2 4 2 5 3 2" xfId="14716" xr:uid="{28C66778-3CAC-4781-87C3-1FB82073903A}"/>
    <cellStyle name="Comma 4 2 4 2 5 4" xfId="10498" xr:uid="{44DEBE5E-F0D8-4735-8E0A-028F3720DAAB}"/>
    <cellStyle name="Comma 4 2 4 2 6" xfId="2395" xr:uid="{00000000-0005-0000-0000-0000C7080000}"/>
    <cellStyle name="Comma 4 2 4 2 6 2" xfId="6679" xr:uid="{00000000-0005-0000-0000-0000C8080000}"/>
    <cellStyle name="Comma 4 2 4 2 6 2 2" xfId="15129" xr:uid="{D4F603A3-2DAE-42A1-80A5-75C2A92D1057}"/>
    <cellStyle name="Comma 4 2 4 2 6 3" xfId="10911" xr:uid="{4DE79D24-CE78-45FD-A4C4-951ED0E3C764}"/>
    <cellStyle name="Comma 4 2 4 2 7" xfId="2368" xr:uid="{00000000-0005-0000-0000-0000C9080000}"/>
    <cellStyle name="Comma 4 2 4 2 8" xfId="2773" xr:uid="{00000000-0005-0000-0000-0000CA080000}"/>
    <cellStyle name="Comma 4 2 4 2 8 2" xfId="6996" xr:uid="{00000000-0005-0000-0000-0000CB080000}"/>
    <cellStyle name="Comma 4 2 4 2 8 2 2" xfId="15446" xr:uid="{87AFE8F4-B8E5-4B1A-9300-E1F1B98776C2}"/>
    <cellStyle name="Comma 4 2 4 2 8 3" xfId="11228" xr:uid="{FCBC9185-5CCA-468A-A3F8-1F7B0ACC5AA4}"/>
    <cellStyle name="Comma 4 2 4 2 9" xfId="4613" xr:uid="{00000000-0005-0000-0000-0000CC080000}"/>
    <cellStyle name="Comma 4 2 4 2 9 2" xfId="13063" xr:uid="{C3479F5F-7327-478E-8037-FA8C2BA5D58E}"/>
    <cellStyle name="Comma 4 2 4 3" xfId="678" xr:uid="{00000000-0005-0000-0000-0000CD080000}"/>
    <cellStyle name="Comma 4 2 4 3 2" xfId="2949" xr:uid="{00000000-0005-0000-0000-0000CE080000}"/>
    <cellStyle name="Comma 4 2 4 3 2 2" xfId="7171" xr:uid="{00000000-0005-0000-0000-0000CF080000}"/>
    <cellStyle name="Comma 4 2 4 3 2 2 2" xfId="15621" xr:uid="{91B100FC-F956-4C3B-B76D-07CC425E722F}"/>
    <cellStyle name="Comma 4 2 4 3 2 3" xfId="11403" xr:uid="{690CE85C-83BB-4B98-9BDB-DDE6C488521F}"/>
    <cellStyle name="Comma 4 2 4 3 3" xfId="5026" xr:uid="{00000000-0005-0000-0000-0000D0080000}"/>
    <cellStyle name="Comma 4 2 4 3 3 2" xfId="13476" xr:uid="{4261D151-4DAD-4DFD-9A9A-358DA98EC86A}"/>
    <cellStyle name="Comma 4 2 4 3 4" xfId="9258" xr:uid="{C800D743-7BE7-4D08-B84A-FC5C633D8DEA}"/>
    <cellStyle name="Comma 4 2 4 4" xfId="1131" xr:uid="{00000000-0005-0000-0000-0000D1080000}"/>
    <cellStyle name="Comma 4 2 4 4 2" xfId="3362" xr:uid="{00000000-0005-0000-0000-0000D2080000}"/>
    <cellStyle name="Comma 4 2 4 4 2 2" xfId="7584" xr:uid="{00000000-0005-0000-0000-0000D3080000}"/>
    <cellStyle name="Comma 4 2 4 4 2 2 2" xfId="16034" xr:uid="{B9A8C926-0198-46AD-AE65-62776F3F4E92}"/>
    <cellStyle name="Comma 4 2 4 4 2 3" xfId="11816" xr:uid="{23CCF8E8-D0C7-499F-AD67-C1D3AB28C252}"/>
    <cellStyle name="Comma 4 2 4 4 3" xfId="5439" xr:uid="{00000000-0005-0000-0000-0000D4080000}"/>
    <cellStyle name="Comma 4 2 4 4 3 2" xfId="13889" xr:uid="{4A947610-4696-43CE-B9CC-F42517FEA0A6}"/>
    <cellStyle name="Comma 4 2 4 4 4" xfId="9671" xr:uid="{E966331E-1CB2-424E-8A28-1143F56D9990}"/>
    <cellStyle name="Comma 4 2 4 5" xfId="1545" xr:uid="{00000000-0005-0000-0000-0000D5080000}"/>
    <cellStyle name="Comma 4 2 4 5 2" xfId="3775" xr:uid="{00000000-0005-0000-0000-0000D6080000}"/>
    <cellStyle name="Comma 4 2 4 5 2 2" xfId="7997" xr:uid="{00000000-0005-0000-0000-0000D7080000}"/>
    <cellStyle name="Comma 4 2 4 5 2 2 2" xfId="16447" xr:uid="{B15974CB-7EE4-442D-AE0F-CDD07A0AF37E}"/>
    <cellStyle name="Comma 4 2 4 5 2 3" xfId="12229" xr:uid="{7BDC387D-7039-4608-AE92-CBFF948035D2}"/>
    <cellStyle name="Comma 4 2 4 5 3" xfId="5852" xr:uid="{00000000-0005-0000-0000-0000D8080000}"/>
    <cellStyle name="Comma 4 2 4 5 3 2" xfId="14302" xr:uid="{96C40124-FCE9-4AC8-AE16-3E3CC9013DC3}"/>
    <cellStyle name="Comma 4 2 4 5 4" xfId="10084" xr:uid="{4A600C4D-B9C3-4D4F-85A4-30721E99AF0A}"/>
    <cellStyle name="Comma 4 2 4 6" xfId="1959" xr:uid="{00000000-0005-0000-0000-0000D9080000}"/>
    <cellStyle name="Comma 4 2 4 6 2" xfId="4188" xr:uid="{00000000-0005-0000-0000-0000DA080000}"/>
    <cellStyle name="Comma 4 2 4 6 2 2" xfId="8410" xr:uid="{00000000-0005-0000-0000-0000DB080000}"/>
    <cellStyle name="Comma 4 2 4 6 2 2 2" xfId="16860" xr:uid="{38C208E7-434C-48A8-9AFB-FF194A7D176C}"/>
    <cellStyle name="Comma 4 2 4 6 2 3" xfId="12642" xr:uid="{9FECF805-81EA-4A02-A6BE-324C26CBA35B}"/>
    <cellStyle name="Comma 4 2 4 6 3" xfId="6265" xr:uid="{00000000-0005-0000-0000-0000DC080000}"/>
    <cellStyle name="Comma 4 2 4 6 3 2" xfId="14715" xr:uid="{D58412B4-8380-43E1-995C-BFCE4E0BCB5C}"/>
    <cellStyle name="Comma 4 2 4 6 4" xfId="10497" xr:uid="{EA334F51-98D8-4D28-8893-D4163F8C28A6}"/>
    <cellStyle name="Comma 4 2 4 7" xfId="2394" xr:uid="{00000000-0005-0000-0000-0000DD080000}"/>
    <cellStyle name="Comma 4 2 4 7 2" xfId="6678" xr:uid="{00000000-0005-0000-0000-0000DE080000}"/>
    <cellStyle name="Comma 4 2 4 7 2 2" xfId="15128" xr:uid="{D31B5DE7-7BE1-463D-AE1B-2D35D48F50EB}"/>
    <cellStyle name="Comma 4 2 4 7 3" xfId="10910" xr:uid="{4765FB9A-5E3B-4731-AF36-9CDBA17178BA}"/>
    <cellStyle name="Comma 4 2 4 8" xfId="2369" xr:uid="{00000000-0005-0000-0000-0000DF080000}"/>
    <cellStyle name="Comma 4 2 4 9" xfId="2772" xr:uid="{00000000-0005-0000-0000-0000E0080000}"/>
    <cellStyle name="Comma 4 2 4 9 2" xfId="6995" xr:uid="{00000000-0005-0000-0000-0000E1080000}"/>
    <cellStyle name="Comma 4 2 4 9 2 2" xfId="15445" xr:uid="{D88146D5-8082-40CA-9234-93E76F090821}"/>
    <cellStyle name="Comma 4 2 4 9 3" xfId="11227" xr:uid="{95653B6C-03F6-4A42-9876-584A5392D9E5}"/>
    <cellStyle name="Comma 4 2 5" xfId="142" xr:uid="{00000000-0005-0000-0000-0000E2080000}"/>
    <cellStyle name="Comma 4 2 5 10" xfId="8846" xr:uid="{905A3D37-AA05-4B03-809C-6A359228600E}"/>
    <cellStyle name="Comma 4 2 5 2" xfId="680" xr:uid="{00000000-0005-0000-0000-0000E3080000}"/>
    <cellStyle name="Comma 4 2 5 2 2" xfId="2951" xr:uid="{00000000-0005-0000-0000-0000E4080000}"/>
    <cellStyle name="Comma 4 2 5 2 2 2" xfId="7173" xr:uid="{00000000-0005-0000-0000-0000E5080000}"/>
    <cellStyle name="Comma 4 2 5 2 2 2 2" xfId="15623" xr:uid="{39F27BEA-234A-4C11-97F3-C5E0A1E1DC99}"/>
    <cellStyle name="Comma 4 2 5 2 2 3" xfId="11405" xr:uid="{0500540B-64C2-4CE6-AD85-044CBE3B8BC4}"/>
    <cellStyle name="Comma 4 2 5 2 3" xfId="5028" xr:uid="{00000000-0005-0000-0000-0000E6080000}"/>
    <cellStyle name="Comma 4 2 5 2 3 2" xfId="13478" xr:uid="{ADBFAB65-1686-4A03-B062-91034B653E56}"/>
    <cellStyle name="Comma 4 2 5 2 4" xfId="9260" xr:uid="{756CBE0A-53DD-4283-A2E0-E69D0A384FB0}"/>
    <cellStyle name="Comma 4 2 5 3" xfId="1133" xr:uid="{00000000-0005-0000-0000-0000E7080000}"/>
    <cellStyle name="Comma 4 2 5 3 2" xfId="3364" xr:uid="{00000000-0005-0000-0000-0000E8080000}"/>
    <cellStyle name="Comma 4 2 5 3 2 2" xfId="7586" xr:uid="{00000000-0005-0000-0000-0000E9080000}"/>
    <cellStyle name="Comma 4 2 5 3 2 2 2" xfId="16036" xr:uid="{2A0104A0-93D1-4046-A871-21AE458D0637}"/>
    <cellStyle name="Comma 4 2 5 3 2 3" xfId="11818" xr:uid="{F1347B65-8300-44C2-8CD5-0A051154C95B}"/>
    <cellStyle name="Comma 4 2 5 3 3" xfId="5441" xr:uid="{00000000-0005-0000-0000-0000EA080000}"/>
    <cellStyle name="Comma 4 2 5 3 3 2" xfId="13891" xr:uid="{FF076E2F-B00A-4C54-AC99-AF5ACFB88806}"/>
    <cellStyle name="Comma 4 2 5 3 4" xfId="9673" xr:uid="{957B37A1-021C-4F41-B283-5D3FF1940818}"/>
    <cellStyle name="Comma 4 2 5 4" xfId="1547" xr:uid="{00000000-0005-0000-0000-0000EB080000}"/>
    <cellStyle name="Comma 4 2 5 4 2" xfId="3777" xr:uid="{00000000-0005-0000-0000-0000EC080000}"/>
    <cellStyle name="Comma 4 2 5 4 2 2" xfId="7999" xr:uid="{00000000-0005-0000-0000-0000ED080000}"/>
    <cellStyle name="Comma 4 2 5 4 2 2 2" xfId="16449" xr:uid="{0B4F6B85-0110-4ECC-BBB2-E4B2D1AB0D7D}"/>
    <cellStyle name="Comma 4 2 5 4 2 3" xfId="12231" xr:uid="{4AB2D6D0-9BA4-4AF8-B79D-D4255FF50EBA}"/>
    <cellStyle name="Comma 4 2 5 4 3" xfId="5854" xr:uid="{00000000-0005-0000-0000-0000EE080000}"/>
    <cellStyle name="Comma 4 2 5 4 3 2" xfId="14304" xr:uid="{AB88C1A0-29E3-47C5-AC3E-4C72F6A880F0}"/>
    <cellStyle name="Comma 4 2 5 4 4" xfId="10086" xr:uid="{8B3B3F87-20C8-4A64-9D4A-29D28524C8E3}"/>
    <cellStyle name="Comma 4 2 5 5" xfId="1961" xr:uid="{00000000-0005-0000-0000-0000EF080000}"/>
    <cellStyle name="Comma 4 2 5 5 2" xfId="4190" xr:uid="{00000000-0005-0000-0000-0000F0080000}"/>
    <cellStyle name="Comma 4 2 5 5 2 2" xfId="8412" xr:uid="{00000000-0005-0000-0000-0000F1080000}"/>
    <cellStyle name="Comma 4 2 5 5 2 2 2" xfId="16862" xr:uid="{25F947AC-AF63-485F-897C-160DED853574}"/>
    <cellStyle name="Comma 4 2 5 5 2 3" xfId="12644" xr:uid="{75E2EC3D-6D07-4B7F-AABD-E461E41C38A0}"/>
    <cellStyle name="Comma 4 2 5 5 3" xfId="6267" xr:uid="{00000000-0005-0000-0000-0000F2080000}"/>
    <cellStyle name="Comma 4 2 5 5 3 2" xfId="14717" xr:uid="{84FC22B2-19F4-4C8E-A970-DE3E4DC34F78}"/>
    <cellStyle name="Comma 4 2 5 5 4" xfId="10499" xr:uid="{D362DAE7-4F6F-4E0E-B571-BBE8BA169D1B}"/>
    <cellStyle name="Comma 4 2 5 6" xfId="2396" xr:uid="{00000000-0005-0000-0000-0000F3080000}"/>
    <cellStyle name="Comma 4 2 5 6 2" xfId="6680" xr:uid="{00000000-0005-0000-0000-0000F4080000}"/>
    <cellStyle name="Comma 4 2 5 6 2 2" xfId="15130" xr:uid="{C885799C-7A2C-4D92-9739-3ADA26F61051}"/>
    <cellStyle name="Comma 4 2 5 6 3" xfId="10912" xr:uid="{FCB69B6B-B362-4320-97EC-F256BEA02B7D}"/>
    <cellStyle name="Comma 4 2 5 7" xfId="2367" xr:uid="{00000000-0005-0000-0000-0000F5080000}"/>
    <cellStyle name="Comma 4 2 5 8" xfId="2774" xr:uid="{00000000-0005-0000-0000-0000F6080000}"/>
    <cellStyle name="Comma 4 2 5 8 2" xfId="6997" xr:uid="{00000000-0005-0000-0000-0000F7080000}"/>
    <cellStyle name="Comma 4 2 5 8 2 2" xfId="15447" xr:uid="{01756AF4-04BA-440D-B1B6-FCA0C49C767C}"/>
    <cellStyle name="Comma 4 2 5 8 3" xfId="11229" xr:uid="{4C22C62D-6318-4CD0-919D-2DA503A93140}"/>
    <cellStyle name="Comma 4 2 5 9" xfId="4614" xr:uid="{00000000-0005-0000-0000-0000F8080000}"/>
    <cellStyle name="Comma 4 2 5 9 2" xfId="13064" xr:uid="{DC4EA649-11D4-4CDB-AB6A-4D2983EE56A6}"/>
    <cellStyle name="Comma 4 2 6" xfId="143" xr:uid="{00000000-0005-0000-0000-0000F9080000}"/>
    <cellStyle name="Comma 4 2 6 10" xfId="8847" xr:uid="{5415BE14-DE29-4B7F-B862-839687CA2B81}"/>
    <cellStyle name="Comma 4 2 6 2" xfId="681" xr:uid="{00000000-0005-0000-0000-0000FA080000}"/>
    <cellStyle name="Comma 4 2 6 2 2" xfId="2952" xr:uid="{00000000-0005-0000-0000-0000FB080000}"/>
    <cellStyle name="Comma 4 2 6 2 2 2" xfId="7174" xr:uid="{00000000-0005-0000-0000-0000FC080000}"/>
    <cellStyle name="Comma 4 2 6 2 2 2 2" xfId="15624" xr:uid="{F50A7F6A-E8F8-435C-8B6A-4C0AD694321E}"/>
    <cellStyle name="Comma 4 2 6 2 2 3" xfId="11406" xr:uid="{065B678C-B9D8-4436-9B1E-8E6F85AAA423}"/>
    <cellStyle name="Comma 4 2 6 2 3" xfId="5029" xr:uid="{00000000-0005-0000-0000-0000FD080000}"/>
    <cellStyle name="Comma 4 2 6 2 3 2" xfId="13479" xr:uid="{FE6B981D-FCB3-40EA-8DAE-2C13096A0B70}"/>
    <cellStyle name="Comma 4 2 6 2 4" xfId="9261" xr:uid="{D33633E9-ADD0-4C0E-AE0A-7186AFBB53DE}"/>
    <cellStyle name="Comma 4 2 6 3" xfId="1134" xr:uid="{00000000-0005-0000-0000-0000FE080000}"/>
    <cellStyle name="Comma 4 2 6 3 2" xfId="3365" xr:uid="{00000000-0005-0000-0000-0000FF080000}"/>
    <cellStyle name="Comma 4 2 6 3 2 2" xfId="7587" xr:uid="{00000000-0005-0000-0000-000000090000}"/>
    <cellStyle name="Comma 4 2 6 3 2 2 2" xfId="16037" xr:uid="{5AA11C5F-E93B-4146-ADF6-149FDB9B021C}"/>
    <cellStyle name="Comma 4 2 6 3 2 3" xfId="11819" xr:uid="{52109AF4-695A-46D2-A087-B623490A5297}"/>
    <cellStyle name="Comma 4 2 6 3 3" xfId="5442" xr:uid="{00000000-0005-0000-0000-000001090000}"/>
    <cellStyle name="Comma 4 2 6 3 3 2" xfId="13892" xr:uid="{323644B5-CD1C-47E5-8F98-70A83CEBBB7F}"/>
    <cellStyle name="Comma 4 2 6 3 4" xfId="9674" xr:uid="{D835D7BA-569C-499E-81D0-CC0BB8E531EF}"/>
    <cellStyle name="Comma 4 2 6 4" xfId="1548" xr:uid="{00000000-0005-0000-0000-000002090000}"/>
    <cellStyle name="Comma 4 2 6 4 2" xfId="3778" xr:uid="{00000000-0005-0000-0000-000003090000}"/>
    <cellStyle name="Comma 4 2 6 4 2 2" xfId="8000" xr:uid="{00000000-0005-0000-0000-000004090000}"/>
    <cellStyle name="Comma 4 2 6 4 2 2 2" xfId="16450" xr:uid="{B967F151-DF83-4674-AAEE-D3BB970E04F8}"/>
    <cellStyle name="Comma 4 2 6 4 2 3" xfId="12232" xr:uid="{30C1414A-D202-4430-9040-7A9BB467D5DE}"/>
    <cellStyle name="Comma 4 2 6 4 3" xfId="5855" xr:uid="{00000000-0005-0000-0000-000005090000}"/>
    <cellStyle name="Comma 4 2 6 4 3 2" xfId="14305" xr:uid="{511B51BA-51F7-4CC7-BCF3-1BAD16343189}"/>
    <cellStyle name="Comma 4 2 6 4 4" xfId="10087" xr:uid="{EEB91BE9-4A59-4BA4-BF7C-8B546EDFCA48}"/>
    <cellStyle name="Comma 4 2 6 5" xfId="1962" xr:uid="{00000000-0005-0000-0000-000006090000}"/>
    <cellStyle name="Comma 4 2 6 5 2" xfId="4191" xr:uid="{00000000-0005-0000-0000-000007090000}"/>
    <cellStyle name="Comma 4 2 6 5 2 2" xfId="8413" xr:uid="{00000000-0005-0000-0000-000008090000}"/>
    <cellStyle name="Comma 4 2 6 5 2 2 2" xfId="16863" xr:uid="{C7226374-5689-41E2-A0FC-DD3E9F00623F}"/>
    <cellStyle name="Comma 4 2 6 5 2 3" xfId="12645" xr:uid="{E87C46C2-2A25-43D9-BF54-24F7B1FF132D}"/>
    <cellStyle name="Comma 4 2 6 5 3" xfId="6268" xr:uid="{00000000-0005-0000-0000-000009090000}"/>
    <cellStyle name="Comma 4 2 6 5 3 2" xfId="14718" xr:uid="{BDAC2832-0425-4B78-999F-E337EE7CF7B0}"/>
    <cellStyle name="Comma 4 2 6 5 4" xfId="10500" xr:uid="{D78013A4-864E-4125-9774-A8E2945032E2}"/>
    <cellStyle name="Comma 4 2 6 6" xfId="2397" xr:uid="{00000000-0005-0000-0000-00000A090000}"/>
    <cellStyle name="Comma 4 2 6 6 2" xfId="6681" xr:uid="{00000000-0005-0000-0000-00000B090000}"/>
    <cellStyle name="Comma 4 2 6 6 2 2" xfId="15131" xr:uid="{9FF26973-EC70-4BFD-9590-FC1CC9A94A58}"/>
    <cellStyle name="Comma 4 2 6 6 3" xfId="10913" xr:uid="{5E0F00E6-99CF-44D5-89D8-14E819C647C2}"/>
    <cellStyle name="Comma 4 2 6 7" xfId="2366" xr:uid="{00000000-0005-0000-0000-00000C090000}"/>
    <cellStyle name="Comma 4 2 6 8" xfId="2775" xr:uid="{00000000-0005-0000-0000-00000D090000}"/>
    <cellStyle name="Comma 4 2 6 8 2" xfId="6998" xr:uid="{00000000-0005-0000-0000-00000E090000}"/>
    <cellStyle name="Comma 4 2 6 8 2 2" xfId="15448" xr:uid="{0318A5B6-62C2-452E-A5BB-F7F5E93221C9}"/>
    <cellStyle name="Comma 4 2 6 8 3" xfId="11230" xr:uid="{64BAF2AF-1BCA-4353-BAFA-3C93829372D7}"/>
    <cellStyle name="Comma 4 2 6 9" xfId="4615" xr:uid="{00000000-0005-0000-0000-00000F090000}"/>
    <cellStyle name="Comma 4 2 6 9 2" xfId="13065" xr:uid="{84BD3010-5496-4F82-954F-5CB5E20306B9}"/>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0 2 2" xfId="15449" xr:uid="{07AFF438-8925-43B3-BC6C-5577B647E59B}"/>
    <cellStyle name="Comma 4 3 2 10 3" xfId="11231" xr:uid="{16769641-87A1-4308-AB60-CCDAE1DE3E5A}"/>
    <cellStyle name="Comma 4 3 2 11" xfId="4616" xr:uid="{00000000-0005-0000-0000-000014090000}"/>
    <cellStyle name="Comma 4 3 2 11 2" xfId="13066" xr:uid="{FC1936F6-52DD-4B55-B5DF-8A9FF16A7C9E}"/>
    <cellStyle name="Comma 4 3 2 12" xfId="8848" xr:uid="{30CDE0CB-6423-4A6A-910A-67E73DA25728}"/>
    <cellStyle name="Comma 4 3 2 2" xfId="146" xr:uid="{00000000-0005-0000-0000-000015090000}"/>
    <cellStyle name="Comma 4 3 2 2 10" xfId="4617" xr:uid="{00000000-0005-0000-0000-000016090000}"/>
    <cellStyle name="Comma 4 3 2 2 10 2" xfId="13067" xr:uid="{01B1FCE9-F7E6-4431-B538-6F3ED1DDAA23}"/>
    <cellStyle name="Comma 4 3 2 2 11" xfId="8849" xr:uid="{FDC2F5E2-E555-4E04-99AC-2AABDE0064DC}"/>
    <cellStyle name="Comma 4 3 2 2 2" xfId="147" xr:uid="{00000000-0005-0000-0000-000017090000}"/>
    <cellStyle name="Comma 4 3 2 2 2 10" xfId="8850" xr:uid="{0169A6A4-EB07-4FE4-AE93-18098215E649}"/>
    <cellStyle name="Comma 4 3 2 2 2 2" xfId="684" xr:uid="{00000000-0005-0000-0000-000018090000}"/>
    <cellStyle name="Comma 4 3 2 2 2 2 2" xfId="2955" xr:uid="{00000000-0005-0000-0000-000019090000}"/>
    <cellStyle name="Comma 4 3 2 2 2 2 2 2" xfId="7177" xr:uid="{00000000-0005-0000-0000-00001A090000}"/>
    <cellStyle name="Comma 4 3 2 2 2 2 2 2 2" xfId="15627" xr:uid="{4139821B-28E8-4504-9C30-183E5E0058F5}"/>
    <cellStyle name="Comma 4 3 2 2 2 2 2 3" xfId="11409" xr:uid="{241362B6-C39D-4AA9-8B4E-2398F97F60B3}"/>
    <cellStyle name="Comma 4 3 2 2 2 2 3" xfId="5032" xr:uid="{00000000-0005-0000-0000-00001B090000}"/>
    <cellStyle name="Comma 4 3 2 2 2 2 3 2" xfId="13482" xr:uid="{A7D26B8C-272A-47C8-A7A2-34F4A478D914}"/>
    <cellStyle name="Comma 4 3 2 2 2 2 4" xfId="9264" xr:uid="{C7D3D3AC-4FD9-4C6F-8EE9-CAC20780982D}"/>
    <cellStyle name="Comma 4 3 2 2 2 3" xfId="1137" xr:uid="{00000000-0005-0000-0000-00001C090000}"/>
    <cellStyle name="Comma 4 3 2 2 2 3 2" xfId="3368" xr:uid="{00000000-0005-0000-0000-00001D090000}"/>
    <cellStyle name="Comma 4 3 2 2 2 3 2 2" xfId="7590" xr:uid="{00000000-0005-0000-0000-00001E090000}"/>
    <cellStyle name="Comma 4 3 2 2 2 3 2 2 2" xfId="16040" xr:uid="{0CBE228A-9B30-4D9A-9D57-9F08E4F6ADE6}"/>
    <cellStyle name="Comma 4 3 2 2 2 3 2 3" xfId="11822" xr:uid="{ED0BC730-6520-4E9B-9823-8CDF02EDBDD7}"/>
    <cellStyle name="Comma 4 3 2 2 2 3 3" xfId="5445" xr:uid="{00000000-0005-0000-0000-00001F090000}"/>
    <cellStyle name="Comma 4 3 2 2 2 3 3 2" xfId="13895" xr:uid="{3D3514F4-147B-46B4-B82A-B1548B322E61}"/>
    <cellStyle name="Comma 4 3 2 2 2 3 4" xfId="9677" xr:uid="{FB284659-DF15-4ABF-9A82-F59AAB26D505}"/>
    <cellStyle name="Comma 4 3 2 2 2 4" xfId="1551" xr:uid="{00000000-0005-0000-0000-000020090000}"/>
    <cellStyle name="Comma 4 3 2 2 2 4 2" xfId="3781" xr:uid="{00000000-0005-0000-0000-000021090000}"/>
    <cellStyle name="Comma 4 3 2 2 2 4 2 2" xfId="8003" xr:uid="{00000000-0005-0000-0000-000022090000}"/>
    <cellStyle name="Comma 4 3 2 2 2 4 2 2 2" xfId="16453" xr:uid="{D3F39528-39E1-45FA-8BBA-B7C15544915C}"/>
    <cellStyle name="Comma 4 3 2 2 2 4 2 3" xfId="12235" xr:uid="{A7062352-6244-4940-A8A9-A98C01343361}"/>
    <cellStyle name="Comma 4 3 2 2 2 4 3" xfId="5858" xr:uid="{00000000-0005-0000-0000-000023090000}"/>
    <cellStyle name="Comma 4 3 2 2 2 4 3 2" xfId="14308" xr:uid="{F989F50B-2734-4090-B543-7003A654C56F}"/>
    <cellStyle name="Comma 4 3 2 2 2 4 4" xfId="10090" xr:uid="{85A14A9B-6E45-46B2-A1A2-DF3BE17F3A15}"/>
    <cellStyle name="Comma 4 3 2 2 2 5" xfId="1965" xr:uid="{00000000-0005-0000-0000-000024090000}"/>
    <cellStyle name="Comma 4 3 2 2 2 5 2" xfId="4194" xr:uid="{00000000-0005-0000-0000-000025090000}"/>
    <cellStyle name="Comma 4 3 2 2 2 5 2 2" xfId="8416" xr:uid="{00000000-0005-0000-0000-000026090000}"/>
    <cellStyle name="Comma 4 3 2 2 2 5 2 2 2" xfId="16866" xr:uid="{A163B3D3-40EF-40B1-83A9-DF1FE8A6489A}"/>
    <cellStyle name="Comma 4 3 2 2 2 5 2 3" xfId="12648" xr:uid="{F0B43FC1-178D-4A2C-B05B-AAEB4F6D7F7B}"/>
    <cellStyle name="Comma 4 3 2 2 2 5 3" xfId="6271" xr:uid="{00000000-0005-0000-0000-000027090000}"/>
    <cellStyle name="Comma 4 3 2 2 2 5 3 2" xfId="14721" xr:uid="{C11AA958-085E-49FC-889C-5AE9009818D1}"/>
    <cellStyle name="Comma 4 3 2 2 2 5 4" xfId="10503" xr:uid="{115462C8-BBEB-40DB-A4FB-CFF56CBDC70B}"/>
    <cellStyle name="Comma 4 3 2 2 2 6" xfId="2400" xr:uid="{00000000-0005-0000-0000-000028090000}"/>
    <cellStyle name="Comma 4 3 2 2 2 6 2" xfId="6684" xr:uid="{00000000-0005-0000-0000-000029090000}"/>
    <cellStyle name="Comma 4 3 2 2 2 6 2 2" xfId="15134" xr:uid="{FD4ACF28-53D0-4022-9869-CD1AF7091684}"/>
    <cellStyle name="Comma 4 3 2 2 2 6 3" xfId="10916" xr:uid="{1F00643B-17D3-4EF0-9ED2-A7C920934182}"/>
    <cellStyle name="Comma 4 3 2 2 2 7" xfId="2363" xr:uid="{00000000-0005-0000-0000-00002A090000}"/>
    <cellStyle name="Comma 4 3 2 2 2 8" xfId="2778" xr:uid="{00000000-0005-0000-0000-00002B090000}"/>
    <cellStyle name="Comma 4 3 2 2 2 8 2" xfId="7001" xr:uid="{00000000-0005-0000-0000-00002C090000}"/>
    <cellStyle name="Comma 4 3 2 2 2 8 2 2" xfId="15451" xr:uid="{5127AE0C-4EE3-4304-9EF9-FE8F3C19A650}"/>
    <cellStyle name="Comma 4 3 2 2 2 8 3" xfId="11233" xr:uid="{B83F638B-ACD0-4156-A50B-052A3ACD0107}"/>
    <cellStyle name="Comma 4 3 2 2 2 9" xfId="4618" xr:uid="{00000000-0005-0000-0000-00002D090000}"/>
    <cellStyle name="Comma 4 3 2 2 2 9 2" xfId="13068" xr:uid="{2E2FF49C-B090-468A-9AFC-6F9F7DE6FB4E}"/>
    <cellStyle name="Comma 4 3 2 2 3" xfId="683" xr:uid="{00000000-0005-0000-0000-00002E090000}"/>
    <cellStyle name="Comma 4 3 2 2 3 2" xfId="2954" xr:uid="{00000000-0005-0000-0000-00002F090000}"/>
    <cellStyle name="Comma 4 3 2 2 3 2 2" xfId="7176" xr:uid="{00000000-0005-0000-0000-000030090000}"/>
    <cellStyle name="Comma 4 3 2 2 3 2 2 2" xfId="15626" xr:uid="{B637C02E-E5BE-4B2B-95A3-C4A210D1FE4E}"/>
    <cellStyle name="Comma 4 3 2 2 3 2 3" xfId="11408" xr:uid="{C87E2678-05EE-49B0-8E9E-0D76DA043249}"/>
    <cellStyle name="Comma 4 3 2 2 3 3" xfId="5031" xr:uid="{00000000-0005-0000-0000-000031090000}"/>
    <cellStyle name="Comma 4 3 2 2 3 3 2" xfId="13481" xr:uid="{3C395090-9433-4A91-904D-C79E31B1E6DB}"/>
    <cellStyle name="Comma 4 3 2 2 3 4" xfId="9263" xr:uid="{D3940111-E641-4C5F-A5D2-A545BD966EA3}"/>
    <cellStyle name="Comma 4 3 2 2 4" xfId="1136" xr:uid="{00000000-0005-0000-0000-000032090000}"/>
    <cellStyle name="Comma 4 3 2 2 4 2" xfId="3367" xr:uid="{00000000-0005-0000-0000-000033090000}"/>
    <cellStyle name="Comma 4 3 2 2 4 2 2" xfId="7589" xr:uid="{00000000-0005-0000-0000-000034090000}"/>
    <cellStyle name="Comma 4 3 2 2 4 2 2 2" xfId="16039" xr:uid="{30AF8045-5C48-477F-9FF0-0A8E5E0A4055}"/>
    <cellStyle name="Comma 4 3 2 2 4 2 3" xfId="11821" xr:uid="{B7759631-2E6A-4D30-A58E-DFA883397E59}"/>
    <cellStyle name="Comma 4 3 2 2 4 3" xfId="5444" xr:uid="{00000000-0005-0000-0000-000035090000}"/>
    <cellStyle name="Comma 4 3 2 2 4 3 2" xfId="13894" xr:uid="{3364EA35-4573-4C03-8E5B-40371DE1382A}"/>
    <cellStyle name="Comma 4 3 2 2 4 4" xfId="9676" xr:uid="{73C40179-11F5-4F86-8CE4-62FD59D6675B}"/>
    <cellStyle name="Comma 4 3 2 2 5" xfId="1550" xr:uid="{00000000-0005-0000-0000-000036090000}"/>
    <cellStyle name="Comma 4 3 2 2 5 2" xfId="3780" xr:uid="{00000000-0005-0000-0000-000037090000}"/>
    <cellStyle name="Comma 4 3 2 2 5 2 2" xfId="8002" xr:uid="{00000000-0005-0000-0000-000038090000}"/>
    <cellStyle name="Comma 4 3 2 2 5 2 2 2" xfId="16452" xr:uid="{FE02D78C-C99C-4A3E-B631-206A6A43D5CA}"/>
    <cellStyle name="Comma 4 3 2 2 5 2 3" xfId="12234" xr:uid="{DC0E15E2-2D41-43E4-BB1A-2E971E361FE5}"/>
    <cellStyle name="Comma 4 3 2 2 5 3" xfId="5857" xr:uid="{00000000-0005-0000-0000-000039090000}"/>
    <cellStyle name="Comma 4 3 2 2 5 3 2" xfId="14307" xr:uid="{D69A7AC4-B441-4389-A79B-62CA96A4DE96}"/>
    <cellStyle name="Comma 4 3 2 2 5 4" xfId="10089" xr:uid="{F04F6909-C68B-45D1-8C0B-4A7348BBBAD7}"/>
    <cellStyle name="Comma 4 3 2 2 6" xfId="1964" xr:uid="{00000000-0005-0000-0000-00003A090000}"/>
    <cellStyle name="Comma 4 3 2 2 6 2" xfId="4193" xr:uid="{00000000-0005-0000-0000-00003B090000}"/>
    <cellStyle name="Comma 4 3 2 2 6 2 2" xfId="8415" xr:uid="{00000000-0005-0000-0000-00003C090000}"/>
    <cellStyle name="Comma 4 3 2 2 6 2 2 2" xfId="16865" xr:uid="{E4DBAE3F-A7C4-465D-93EB-D724A6B6F06F}"/>
    <cellStyle name="Comma 4 3 2 2 6 2 3" xfId="12647" xr:uid="{A1BF6E9E-B61E-48EE-BA2C-FABC58100C51}"/>
    <cellStyle name="Comma 4 3 2 2 6 3" xfId="6270" xr:uid="{00000000-0005-0000-0000-00003D090000}"/>
    <cellStyle name="Comma 4 3 2 2 6 3 2" xfId="14720" xr:uid="{9502E353-3E65-4CB5-AE36-953D11947AA0}"/>
    <cellStyle name="Comma 4 3 2 2 6 4" xfId="10502" xr:uid="{E00C05D1-D252-454B-B822-102F6224F609}"/>
    <cellStyle name="Comma 4 3 2 2 7" xfId="2399" xr:uid="{00000000-0005-0000-0000-00003E090000}"/>
    <cellStyle name="Comma 4 3 2 2 7 2" xfId="6683" xr:uid="{00000000-0005-0000-0000-00003F090000}"/>
    <cellStyle name="Comma 4 3 2 2 7 2 2" xfId="15133" xr:uid="{C21B59E5-6261-4D26-BD1B-939DC438746E}"/>
    <cellStyle name="Comma 4 3 2 2 7 3" xfId="10915" xr:uid="{17073A02-1CBD-45DF-9498-5CDC83626D96}"/>
    <cellStyle name="Comma 4 3 2 2 8" xfId="2364" xr:uid="{00000000-0005-0000-0000-000040090000}"/>
    <cellStyle name="Comma 4 3 2 2 9" xfId="2777" xr:uid="{00000000-0005-0000-0000-000041090000}"/>
    <cellStyle name="Comma 4 3 2 2 9 2" xfId="7000" xr:uid="{00000000-0005-0000-0000-000042090000}"/>
    <cellStyle name="Comma 4 3 2 2 9 2 2" xfId="15450" xr:uid="{04C2F79A-DE97-45F8-8979-82CD03FE7066}"/>
    <cellStyle name="Comma 4 3 2 2 9 3" xfId="11232" xr:uid="{5BEA21AD-A2B3-441A-9E0C-C5A50764A156}"/>
    <cellStyle name="Comma 4 3 2 3" xfId="148" xr:uid="{00000000-0005-0000-0000-000043090000}"/>
    <cellStyle name="Comma 4 3 2 3 10" xfId="8851" xr:uid="{2D588509-0E61-4ED4-B111-CD1F9DADABFA}"/>
    <cellStyle name="Comma 4 3 2 3 2" xfId="685" xr:uid="{00000000-0005-0000-0000-000044090000}"/>
    <cellStyle name="Comma 4 3 2 3 2 2" xfId="2956" xr:uid="{00000000-0005-0000-0000-000045090000}"/>
    <cellStyle name="Comma 4 3 2 3 2 2 2" xfId="7178" xr:uid="{00000000-0005-0000-0000-000046090000}"/>
    <cellStyle name="Comma 4 3 2 3 2 2 2 2" xfId="15628" xr:uid="{1E0C454F-33C2-4226-9AF1-550215E8A0D0}"/>
    <cellStyle name="Comma 4 3 2 3 2 2 3" xfId="11410" xr:uid="{AB92B0A2-2CCE-4BFF-829B-8452E28C0252}"/>
    <cellStyle name="Comma 4 3 2 3 2 3" xfId="5033" xr:uid="{00000000-0005-0000-0000-000047090000}"/>
    <cellStyle name="Comma 4 3 2 3 2 3 2" xfId="13483" xr:uid="{2BCD1C97-0902-45C0-8B71-B010D3605558}"/>
    <cellStyle name="Comma 4 3 2 3 2 4" xfId="9265" xr:uid="{3C2748BD-44E4-4C82-97FC-1883FCA28674}"/>
    <cellStyle name="Comma 4 3 2 3 3" xfId="1138" xr:uid="{00000000-0005-0000-0000-000048090000}"/>
    <cellStyle name="Comma 4 3 2 3 3 2" xfId="3369" xr:uid="{00000000-0005-0000-0000-000049090000}"/>
    <cellStyle name="Comma 4 3 2 3 3 2 2" xfId="7591" xr:uid="{00000000-0005-0000-0000-00004A090000}"/>
    <cellStyle name="Comma 4 3 2 3 3 2 2 2" xfId="16041" xr:uid="{BC451E6E-757A-441F-969C-5B1566C1870F}"/>
    <cellStyle name="Comma 4 3 2 3 3 2 3" xfId="11823" xr:uid="{E3AF1653-D7E2-442D-B45B-D2FA446368D5}"/>
    <cellStyle name="Comma 4 3 2 3 3 3" xfId="5446" xr:uid="{00000000-0005-0000-0000-00004B090000}"/>
    <cellStyle name="Comma 4 3 2 3 3 3 2" xfId="13896" xr:uid="{4221FBAA-F89E-4816-ABA2-A4F4D6612D21}"/>
    <cellStyle name="Comma 4 3 2 3 3 4" xfId="9678" xr:uid="{7866FCCC-F801-41F1-B6F1-D709D30E9E32}"/>
    <cellStyle name="Comma 4 3 2 3 4" xfId="1552" xr:uid="{00000000-0005-0000-0000-00004C090000}"/>
    <cellStyle name="Comma 4 3 2 3 4 2" xfId="3782" xr:uid="{00000000-0005-0000-0000-00004D090000}"/>
    <cellStyle name="Comma 4 3 2 3 4 2 2" xfId="8004" xr:uid="{00000000-0005-0000-0000-00004E090000}"/>
    <cellStyle name="Comma 4 3 2 3 4 2 2 2" xfId="16454" xr:uid="{25B8A227-C233-498F-BCD3-4FB07DD01F66}"/>
    <cellStyle name="Comma 4 3 2 3 4 2 3" xfId="12236" xr:uid="{1D06321A-687C-4B14-AC32-F974EE49AC7E}"/>
    <cellStyle name="Comma 4 3 2 3 4 3" xfId="5859" xr:uid="{00000000-0005-0000-0000-00004F090000}"/>
    <cellStyle name="Comma 4 3 2 3 4 3 2" xfId="14309" xr:uid="{8F1A498D-550A-4667-8F97-8C41664EB427}"/>
    <cellStyle name="Comma 4 3 2 3 4 4" xfId="10091" xr:uid="{625F9D0A-E0D6-4EF8-8140-3F2173DB905B}"/>
    <cellStyle name="Comma 4 3 2 3 5" xfId="1966" xr:uid="{00000000-0005-0000-0000-000050090000}"/>
    <cellStyle name="Comma 4 3 2 3 5 2" xfId="4195" xr:uid="{00000000-0005-0000-0000-000051090000}"/>
    <cellStyle name="Comma 4 3 2 3 5 2 2" xfId="8417" xr:uid="{00000000-0005-0000-0000-000052090000}"/>
    <cellStyle name="Comma 4 3 2 3 5 2 2 2" xfId="16867" xr:uid="{699192EA-FF2F-4AED-8972-45543384F157}"/>
    <cellStyle name="Comma 4 3 2 3 5 2 3" xfId="12649" xr:uid="{BB239E22-213F-48F0-9693-6F1E83A58D48}"/>
    <cellStyle name="Comma 4 3 2 3 5 3" xfId="6272" xr:uid="{00000000-0005-0000-0000-000053090000}"/>
    <cellStyle name="Comma 4 3 2 3 5 3 2" xfId="14722" xr:uid="{558168FE-4258-4BE6-9BE0-A9726C51A404}"/>
    <cellStyle name="Comma 4 3 2 3 5 4" xfId="10504" xr:uid="{FDC54EC5-77B0-4DB7-B8DA-FF8F6F314B69}"/>
    <cellStyle name="Comma 4 3 2 3 6" xfId="2401" xr:uid="{00000000-0005-0000-0000-000054090000}"/>
    <cellStyle name="Comma 4 3 2 3 6 2" xfId="6685" xr:uid="{00000000-0005-0000-0000-000055090000}"/>
    <cellStyle name="Comma 4 3 2 3 6 2 2" xfId="15135" xr:uid="{D61DC36D-06E6-4810-A7F4-0AA4293E4B7D}"/>
    <cellStyle name="Comma 4 3 2 3 6 3" xfId="10917" xr:uid="{9E6110B5-67D0-4D34-9AC1-D6113D6502DB}"/>
    <cellStyle name="Comma 4 3 2 3 7" xfId="2362" xr:uid="{00000000-0005-0000-0000-000056090000}"/>
    <cellStyle name="Comma 4 3 2 3 8" xfId="2779" xr:uid="{00000000-0005-0000-0000-000057090000}"/>
    <cellStyle name="Comma 4 3 2 3 8 2" xfId="7002" xr:uid="{00000000-0005-0000-0000-000058090000}"/>
    <cellStyle name="Comma 4 3 2 3 8 2 2" xfId="15452" xr:uid="{908FFB2D-6FC7-4245-B461-0DE8166CF896}"/>
    <cellStyle name="Comma 4 3 2 3 8 3" xfId="11234" xr:uid="{FB1EBB1D-57DA-46C4-9798-77BE64E8195A}"/>
    <cellStyle name="Comma 4 3 2 3 9" xfId="4619" xr:uid="{00000000-0005-0000-0000-000059090000}"/>
    <cellStyle name="Comma 4 3 2 3 9 2" xfId="13069" xr:uid="{D5B122FD-B989-4DD5-9D40-CC7950A58FBA}"/>
    <cellStyle name="Comma 4 3 2 4" xfId="682" xr:uid="{00000000-0005-0000-0000-00005A090000}"/>
    <cellStyle name="Comma 4 3 2 4 2" xfId="2953" xr:uid="{00000000-0005-0000-0000-00005B090000}"/>
    <cellStyle name="Comma 4 3 2 4 2 2" xfId="7175" xr:uid="{00000000-0005-0000-0000-00005C090000}"/>
    <cellStyle name="Comma 4 3 2 4 2 2 2" xfId="15625" xr:uid="{03C36F2E-59F2-428B-BE93-E4D610A32F85}"/>
    <cellStyle name="Comma 4 3 2 4 2 3" xfId="11407" xr:uid="{0FB1E6BD-BD8F-4A87-9FAA-C958179E8B48}"/>
    <cellStyle name="Comma 4 3 2 4 3" xfId="5030" xr:uid="{00000000-0005-0000-0000-00005D090000}"/>
    <cellStyle name="Comma 4 3 2 4 3 2" xfId="13480" xr:uid="{EED9733C-118B-46D4-9C7E-542EC18EDACA}"/>
    <cellStyle name="Comma 4 3 2 4 4" xfId="9262" xr:uid="{348EFF1B-BE7D-46F0-AFF9-952FEA047AB9}"/>
    <cellStyle name="Comma 4 3 2 5" xfId="1135" xr:uid="{00000000-0005-0000-0000-00005E090000}"/>
    <cellStyle name="Comma 4 3 2 5 2" xfId="3366" xr:uid="{00000000-0005-0000-0000-00005F090000}"/>
    <cellStyle name="Comma 4 3 2 5 2 2" xfId="7588" xr:uid="{00000000-0005-0000-0000-000060090000}"/>
    <cellStyle name="Comma 4 3 2 5 2 2 2" xfId="16038" xr:uid="{FB3EE22F-2ABB-4A80-AE48-2280F06F0CC0}"/>
    <cellStyle name="Comma 4 3 2 5 2 3" xfId="11820" xr:uid="{1E82406C-E422-44C9-859F-8896E7E79082}"/>
    <cellStyle name="Comma 4 3 2 5 3" xfId="5443" xr:uid="{00000000-0005-0000-0000-000061090000}"/>
    <cellStyle name="Comma 4 3 2 5 3 2" xfId="13893" xr:uid="{890D5575-F34D-4440-9F68-62CCCE512DED}"/>
    <cellStyle name="Comma 4 3 2 5 4" xfId="9675" xr:uid="{AC511755-6A8C-4FCE-BAAE-188EA8790920}"/>
    <cellStyle name="Comma 4 3 2 6" xfId="1549" xr:uid="{00000000-0005-0000-0000-000062090000}"/>
    <cellStyle name="Comma 4 3 2 6 2" xfId="3779" xr:uid="{00000000-0005-0000-0000-000063090000}"/>
    <cellStyle name="Comma 4 3 2 6 2 2" xfId="8001" xr:uid="{00000000-0005-0000-0000-000064090000}"/>
    <cellStyle name="Comma 4 3 2 6 2 2 2" xfId="16451" xr:uid="{92237AFA-3903-4715-8D14-40C0CD52759C}"/>
    <cellStyle name="Comma 4 3 2 6 2 3" xfId="12233" xr:uid="{A6C8BE95-8F83-4C05-BCA0-1BA01BA7E2A4}"/>
    <cellStyle name="Comma 4 3 2 6 3" xfId="5856" xr:uid="{00000000-0005-0000-0000-000065090000}"/>
    <cellStyle name="Comma 4 3 2 6 3 2" xfId="14306" xr:uid="{6ABB97C6-18E7-4DCC-84B3-8EED4425899D}"/>
    <cellStyle name="Comma 4 3 2 6 4" xfId="10088" xr:uid="{7E0B9A0A-9A55-4EAB-9C80-1B0C9578219F}"/>
    <cellStyle name="Comma 4 3 2 7" xfId="1963" xr:uid="{00000000-0005-0000-0000-000066090000}"/>
    <cellStyle name="Comma 4 3 2 7 2" xfId="4192" xr:uid="{00000000-0005-0000-0000-000067090000}"/>
    <cellStyle name="Comma 4 3 2 7 2 2" xfId="8414" xr:uid="{00000000-0005-0000-0000-000068090000}"/>
    <cellStyle name="Comma 4 3 2 7 2 2 2" xfId="16864" xr:uid="{2C3EAEE1-3D74-4B35-9BC8-9E210844DCB1}"/>
    <cellStyle name="Comma 4 3 2 7 2 3" xfId="12646" xr:uid="{34197151-7975-4882-980F-44E9EFB78CC1}"/>
    <cellStyle name="Comma 4 3 2 7 3" xfId="6269" xr:uid="{00000000-0005-0000-0000-000069090000}"/>
    <cellStyle name="Comma 4 3 2 7 3 2" xfId="14719" xr:uid="{AB729CD3-9276-4CA0-A763-06E169BEC7C8}"/>
    <cellStyle name="Comma 4 3 2 7 4" xfId="10501" xr:uid="{051FF00B-91AF-45F2-B5AA-BFF5CAB793B2}"/>
    <cellStyle name="Comma 4 3 2 8" xfId="2398" xr:uid="{00000000-0005-0000-0000-00006A090000}"/>
    <cellStyle name="Comma 4 3 2 8 2" xfId="6682" xr:uid="{00000000-0005-0000-0000-00006B090000}"/>
    <cellStyle name="Comma 4 3 2 8 2 2" xfId="15132" xr:uid="{2FB1C265-0170-4962-95C9-62AECE7C2BF0}"/>
    <cellStyle name="Comma 4 3 2 8 3" xfId="10914" xr:uid="{764761BD-5D73-4E17-8BEB-3886A6C5CBBF}"/>
    <cellStyle name="Comma 4 3 2 9" xfId="2365" xr:uid="{00000000-0005-0000-0000-00006C090000}"/>
    <cellStyle name="Comma 4 3 3" xfId="149" xr:uid="{00000000-0005-0000-0000-00006D090000}"/>
    <cellStyle name="Comma 4 3 3 10" xfId="4620" xr:uid="{00000000-0005-0000-0000-00006E090000}"/>
    <cellStyle name="Comma 4 3 3 10 2" xfId="13070" xr:uid="{66AA0BA2-0A9E-425B-8C8A-BC95E076B859}"/>
    <cellStyle name="Comma 4 3 3 11" xfId="8852" xr:uid="{4FB0F6D7-F691-42CA-BF74-16F7C4DA5DF3}"/>
    <cellStyle name="Comma 4 3 3 2" xfId="150" xr:uid="{00000000-0005-0000-0000-00006F090000}"/>
    <cellStyle name="Comma 4 3 3 2 10" xfId="8853" xr:uid="{3A8D9144-87F7-48FA-B2E1-3D0C6FFCB77A}"/>
    <cellStyle name="Comma 4 3 3 2 2" xfId="687" xr:uid="{00000000-0005-0000-0000-000070090000}"/>
    <cellStyle name="Comma 4 3 3 2 2 2" xfId="2958" xr:uid="{00000000-0005-0000-0000-000071090000}"/>
    <cellStyle name="Comma 4 3 3 2 2 2 2" xfId="7180" xr:uid="{00000000-0005-0000-0000-000072090000}"/>
    <cellStyle name="Comma 4 3 3 2 2 2 2 2" xfId="15630" xr:uid="{13C5B54A-1DD5-4506-81B0-BFDFB29A3B26}"/>
    <cellStyle name="Comma 4 3 3 2 2 2 3" xfId="11412" xr:uid="{ABE18FDD-B8D8-4816-A2F6-D2F1956EB9F3}"/>
    <cellStyle name="Comma 4 3 3 2 2 3" xfId="5035" xr:uid="{00000000-0005-0000-0000-000073090000}"/>
    <cellStyle name="Comma 4 3 3 2 2 3 2" xfId="13485" xr:uid="{843ACB47-3741-4776-9401-BBA712FDEC85}"/>
    <cellStyle name="Comma 4 3 3 2 2 4" xfId="9267" xr:uid="{4B8C0C9C-36E2-4460-87E5-9AF6E331F9BE}"/>
    <cellStyle name="Comma 4 3 3 2 3" xfId="1140" xr:uid="{00000000-0005-0000-0000-000074090000}"/>
    <cellStyle name="Comma 4 3 3 2 3 2" xfId="3371" xr:uid="{00000000-0005-0000-0000-000075090000}"/>
    <cellStyle name="Comma 4 3 3 2 3 2 2" xfId="7593" xr:uid="{00000000-0005-0000-0000-000076090000}"/>
    <cellStyle name="Comma 4 3 3 2 3 2 2 2" xfId="16043" xr:uid="{93710216-DE1E-4E3A-AEAC-76E48760BF04}"/>
    <cellStyle name="Comma 4 3 3 2 3 2 3" xfId="11825" xr:uid="{18AD3A86-BE52-4D23-A3CD-96882A8B71E7}"/>
    <cellStyle name="Comma 4 3 3 2 3 3" xfId="5448" xr:uid="{00000000-0005-0000-0000-000077090000}"/>
    <cellStyle name="Comma 4 3 3 2 3 3 2" xfId="13898" xr:uid="{5683271D-5DE2-45F1-A126-B19F0DD3C387}"/>
    <cellStyle name="Comma 4 3 3 2 3 4" xfId="9680" xr:uid="{A58137FD-FB8B-4A8F-A06D-C5A4AB008DD6}"/>
    <cellStyle name="Comma 4 3 3 2 4" xfId="1554" xr:uid="{00000000-0005-0000-0000-000078090000}"/>
    <cellStyle name="Comma 4 3 3 2 4 2" xfId="3784" xr:uid="{00000000-0005-0000-0000-000079090000}"/>
    <cellStyle name="Comma 4 3 3 2 4 2 2" xfId="8006" xr:uid="{00000000-0005-0000-0000-00007A090000}"/>
    <cellStyle name="Comma 4 3 3 2 4 2 2 2" xfId="16456" xr:uid="{0DAD3B97-C79A-4EF9-A0F9-8D89916B8D4C}"/>
    <cellStyle name="Comma 4 3 3 2 4 2 3" xfId="12238" xr:uid="{5E627D68-DD2C-4F94-9B83-E38910B412AB}"/>
    <cellStyle name="Comma 4 3 3 2 4 3" xfId="5861" xr:uid="{00000000-0005-0000-0000-00007B090000}"/>
    <cellStyle name="Comma 4 3 3 2 4 3 2" xfId="14311" xr:uid="{C07FA4EF-AB4A-45D8-8759-01AA03B9CDBF}"/>
    <cellStyle name="Comma 4 3 3 2 4 4" xfId="10093" xr:uid="{499C7A85-C2B0-4FDA-B4D1-A6CCE43DB18A}"/>
    <cellStyle name="Comma 4 3 3 2 5" xfId="1968" xr:uid="{00000000-0005-0000-0000-00007C090000}"/>
    <cellStyle name="Comma 4 3 3 2 5 2" xfId="4197" xr:uid="{00000000-0005-0000-0000-00007D090000}"/>
    <cellStyle name="Comma 4 3 3 2 5 2 2" xfId="8419" xr:uid="{00000000-0005-0000-0000-00007E090000}"/>
    <cellStyle name="Comma 4 3 3 2 5 2 2 2" xfId="16869" xr:uid="{89BCB71A-2B40-4EFE-BF79-A8D5EB965FAC}"/>
    <cellStyle name="Comma 4 3 3 2 5 2 3" xfId="12651" xr:uid="{FE2E8524-62C0-4056-B50C-B8D8F5D74A6C}"/>
    <cellStyle name="Comma 4 3 3 2 5 3" xfId="6274" xr:uid="{00000000-0005-0000-0000-00007F090000}"/>
    <cellStyle name="Comma 4 3 3 2 5 3 2" xfId="14724" xr:uid="{CF7BB83D-F812-49A8-8A91-8B23002F5C8B}"/>
    <cellStyle name="Comma 4 3 3 2 5 4" xfId="10506" xr:uid="{BF42FF22-F6F4-483D-8996-25147F25DE56}"/>
    <cellStyle name="Comma 4 3 3 2 6" xfId="2403" xr:uid="{00000000-0005-0000-0000-000080090000}"/>
    <cellStyle name="Comma 4 3 3 2 6 2" xfId="6687" xr:uid="{00000000-0005-0000-0000-000081090000}"/>
    <cellStyle name="Comma 4 3 3 2 6 2 2" xfId="15137" xr:uid="{B3AEA6D1-0A72-40B4-9D38-4322FADAD349}"/>
    <cellStyle name="Comma 4 3 3 2 6 3" xfId="10919" xr:uid="{D4D6B1DA-E419-4951-B5F3-731D51EF3CD7}"/>
    <cellStyle name="Comma 4 3 3 2 7" xfId="2360" xr:uid="{00000000-0005-0000-0000-000082090000}"/>
    <cellStyle name="Comma 4 3 3 2 8" xfId="2781" xr:uid="{00000000-0005-0000-0000-000083090000}"/>
    <cellStyle name="Comma 4 3 3 2 8 2" xfId="7004" xr:uid="{00000000-0005-0000-0000-000084090000}"/>
    <cellStyle name="Comma 4 3 3 2 8 2 2" xfId="15454" xr:uid="{24D4437B-2836-43A6-AD6A-8A58F8211528}"/>
    <cellStyle name="Comma 4 3 3 2 8 3" xfId="11236" xr:uid="{D265F4CC-8796-4929-8C10-3DB0EAB22299}"/>
    <cellStyle name="Comma 4 3 3 2 9" xfId="4621" xr:uid="{00000000-0005-0000-0000-000085090000}"/>
    <cellStyle name="Comma 4 3 3 2 9 2" xfId="13071" xr:uid="{3AF39F30-218E-45EA-A0EC-28554275FB7F}"/>
    <cellStyle name="Comma 4 3 3 3" xfId="686" xr:uid="{00000000-0005-0000-0000-000086090000}"/>
    <cellStyle name="Comma 4 3 3 3 2" xfId="2957" xr:uid="{00000000-0005-0000-0000-000087090000}"/>
    <cellStyle name="Comma 4 3 3 3 2 2" xfId="7179" xr:uid="{00000000-0005-0000-0000-000088090000}"/>
    <cellStyle name="Comma 4 3 3 3 2 2 2" xfId="15629" xr:uid="{013845B9-2340-475F-A7DD-CDC66EE47584}"/>
    <cellStyle name="Comma 4 3 3 3 2 3" xfId="11411" xr:uid="{E59848EC-CCAF-474C-B312-9E61A048C64E}"/>
    <cellStyle name="Comma 4 3 3 3 3" xfId="5034" xr:uid="{00000000-0005-0000-0000-000089090000}"/>
    <cellStyle name="Comma 4 3 3 3 3 2" xfId="13484" xr:uid="{63BC9555-F28E-4433-8809-824CAD48FD18}"/>
    <cellStyle name="Comma 4 3 3 3 4" xfId="9266" xr:uid="{25FAE7E3-F5CE-47D1-9628-A116D071585F}"/>
    <cellStyle name="Comma 4 3 3 4" xfId="1139" xr:uid="{00000000-0005-0000-0000-00008A090000}"/>
    <cellStyle name="Comma 4 3 3 4 2" xfId="3370" xr:uid="{00000000-0005-0000-0000-00008B090000}"/>
    <cellStyle name="Comma 4 3 3 4 2 2" xfId="7592" xr:uid="{00000000-0005-0000-0000-00008C090000}"/>
    <cellStyle name="Comma 4 3 3 4 2 2 2" xfId="16042" xr:uid="{3790CFEC-4310-4E99-BAB2-988DAE5DBD62}"/>
    <cellStyle name="Comma 4 3 3 4 2 3" xfId="11824" xr:uid="{8C9339CF-53D4-4389-9730-6140CD9EE9E6}"/>
    <cellStyle name="Comma 4 3 3 4 3" xfId="5447" xr:uid="{00000000-0005-0000-0000-00008D090000}"/>
    <cellStyle name="Comma 4 3 3 4 3 2" xfId="13897" xr:uid="{697CD3BF-1646-4757-A5F4-36A3EC8FD188}"/>
    <cellStyle name="Comma 4 3 3 4 4" xfId="9679" xr:uid="{0D9C7176-D6F1-42B6-B84A-57E85B1BF767}"/>
    <cellStyle name="Comma 4 3 3 5" xfId="1553" xr:uid="{00000000-0005-0000-0000-00008E090000}"/>
    <cellStyle name="Comma 4 3 3 5 2" xfId="3783" xr:uid="{00000000-0005-0000-0000-00008F090000}"/>
    <cellStyle name="Comma 4 3 3 5 2 2" xfId="8005" xr:uid="{00000000-0005-0000-0000-000090090000}"/>
    <cellStyle name="Comma 4 3 3 5 2 2 2" xfId="16455" xr:uid="{47CD6028-514D-4AB6-A9EB-4D13AA0DC9B1}"/>
    <cellStyle name="Comma 4 3 3 5 2 3" xfId="12237" xr:uid="{169335EB-EC0A-4B4B-A042-CDDCFFB442AF}"/>
    <cellStyle name="Comma 4 3 3 5 3" xfId="5860" xr:uid="{00000000-0005-0000-0000-000091090000}"/>
    <cellStyle name="Comma 4 3 3 5 3 2" xfId="14310" xr:uid="{9FBC14FE-A1A9-4978-9EA3-721010A69368}"/>
    <cellStyle name="Comma 4 3 3 5 4" xfId="10092" xr:uid="{E26C6DBC-41B3-42AC-ADFC-4F3559ED1660}"/>
    <cellStyle name="Comma 4 3 3 6" xfId="1967" xr:uid="{00000000-0005-0000-0000-000092090000}"/>
    <cellStyle name="Comma 4 3 3 6 2" xfId="4196" xr:uid="{00000000-0005-0000-0000-000093090000}"/>
    <cellStyle name="Comma 4 3 3 6 2 2" xfId="8418" xr:uid="{00000000-0005-0000-0000-000094090000}"/>
    <cellStyle name="Comma 4 3 3 6 2 2 2" xfId="16868" xr:uid="{EB05F27F-AB15-4726-837D-AFD01828E1AF}"/>
    <cellStyle name="Comma 4 3 3 6 2 3" xfId="12650" xr:uid="{097E27AC-A78E-465C-9E61-55050787CBA6}"/>
    <cellStyle name="Comma 4 3 3 6 3" xfId="6273" xr:uid="{00000000-0005-0000-0000-000095090000}"/>
    <cellStyle name="Comma 4 3 3 6 3 2" xfId="14723" xr:uid="{80A2C5C2-B7EA-472F-BDD8-03953E04E174}"/>
    <cellStyle name="Comma 4 3 3 6 4" xfId="10505" xr:uid="{C3DAF8E0-6242-4854-AEB0-29A87A6D42E5}"/>
    <cellStyle name="Comma 4 3 3 7" xfId="2402" xr:uid="{00000000-0005-0000-0000-000096090000}"/>
    <cellStyle name="Comma 4 3 3 7 2" xfId="6686" xr:uid="{00000000-0005-0000-0000-000097090000}"/>
    <cellStyle name="Comma 4 3 3 7 2 2" xfId="15136" xr:uid="{7D247F60-1096-4E25-876D-96CA432B6E51}"/>
    <cellStyle name="Comma 4 3 3 7 3" xfId="10918" xr:uid="{3337E734-3992-4430-A30F-53FFF7CF3E0E}"/>
    <cellStyle name="Comma 4 3 3 8" xfId="2361" xr:uid="{00000000-0005-0000-0000-000098090000}"/>
    <cellStyle name="Comma 4 3 3 9" xfId="2780" xr:uid="{00000000-0005-0000-0000-000099090000}"/>
    <cellStyle name="Comma 4 3 3 9 2" xfId="7003" xr:uid="{00000000-0005-0000-0000-00009A090000}"/>
    <cellStyle name="Comma 4 3 3 9 2 2" xfId="15453" xr:uid="{C9B834EE-FB38-40FA-BAE7-9224559958D1}"/>
    <cellStyle name="Comma 4 3 3 9 3" xfId="11235" xr:uid="{8724558E-BA58-40FE-8F92-6DE625F059C3}"/>
    <cellStyle name="Comma 4 3 4" xfId="151" xr:uid="{00000000-0005-0000-0000-00009B090000}"/>
    <cellStyle name="Comma 4 3 4 10" xfId="8854" xr:uid="{72AB0072-12EB-44E0-B32D-5B3C160BEFBD}"/>
    <cellStyle name="Comma 4 3 4 2" xfId="688" xr:uid="{00000000-0005-0000-0000-00009C090000}"/>
    <cellStyle name="Comma 4 3 4 2 2" xfId="2959" xr:uid="{00000000-0005-0000-0000-00009D090000}"/>
    <cellStyle name="Comma 4 3 4 2 2 2" xfId="7181" xr:uid="{00000000-0005-0000-0000-00009E090000}"/>
    <cellStyle name="Comma 4 3 4 2 2 2 2" xfId="15631" xr:uid="{7ACA385A-2989-4414-95C6-6D7551F27C9D}"/>
    <cellStyle name="Comma 4 3 4 2 2 3" xfId="11413" xr:uid="{33394713-E2AF-43EC-A22C-F23A37F0A780}"/>
    <cellStyle name="Comma 4 3 4 2 3" xfId="5036" xr:uid="{00000000-0005-0000-0000-00009F090000}"/>
    <cellStyle name="Comma 4 3 4 2 3 2" xfId="13486" xr:uid="{6EBEC97D-F9ED-4A89-B064-33B7128B6E77}"/>
    <cellStyle name="Comma 4 3 4 2 4" xfId="9268" xr:uid="{8F52E6E2-1334-4C3B-BBA5-2A055A94443F}"/>
    <cellStyle name="Comma 4 3 4 3" xfId="1141" xr:uid="{00000000-0005-0000-0000-0000A0090000}"/>
    <cellStyle name="Comma 4 3 4 3 2" xfId="3372" xr:uid="{00000000-0005-0000-0000-0000A1090000}"/>
    <cellStyle name="Comma 4 3 4 3 2 2" xfId="7594" xr:uid="{00000000-0005-0000-0000-0000A2090000}"/>
    <cellStyle name="Comma 4 3 4 3 2 2 2" xfId="16044" xr:uid="{3E4A6BFF-7A51-4A41-968E-152F4A44B9B7}"/>
    <cellStyle name="Comma 4 3 4 3 2 3" xfId="11826" xr:uid="{91C72686-67FF-487C-96DB-7FF3556028A7}"/>
    <cellStyle name="Comma 4 3 4 3 3" xfId="5449" xr:uid="{00000000-0005-0000-0000-0000A3090000}"/>
    <cellStyle name="Comma 4 3 4 3 3 2" xfId="13899" xr:uid="{AA1C57DF-1E07-4E70-934B-4B9293F516D6}"/>
    <cellStyle name="Comma 4 3 4 3 4" xfId="9681" xr:uid="{6DF2F564-0177-4117-AB14-B065BA90FE5F}"/>
    <cellStyle name="Comma 4 3 4 4" xfId="1555" xr:uid="{00000000-0005-0000-0000-0000A4090000}"/>
    <cellStyle name="Comma 4 3 4 4 2" xfId="3785" xr:uid="{00000000-0005-0000-0000-0000A5090000}"/>
    <cellStyle name="Comma 4 3 4 4 2 2" xfId="8007" xr:uid="{00000000-0005-0000-0000-0000A6090000}"/>
    <cellStyle name="Comma 4 3 4 4 2 2 2" xfId="16457" xr:uid="{0685234E-DEEA-44DC-8E7D-99DB67062863}"/>
    <cellStyle name="Comma 4 3 4 4 2 3" xfId="12239" xr:uid="{69114F4B-8DD2-463B-B5F6-EC39A7FD7B02}"/>
    <cellStyle name="Comma 4 3 4 4 3" xfId="5862" xr:uid="{00000000-0005-0000-0000-0000A7090000}"/>
    <cellStyle name="Comma 4 3 4 4 3 2" xfId="14312" xr:uid="{4C131F15-A209-4218-A051-02B5E4D3F591}"/>
    <cellStyle name="Comma 4 3 4 4 4" xfId="10094" xr:uid="{761D1BB0-BB98-4AA2-9D6A-AA2A66848959}"/>
    <cellStyle name="Comma 4 3 4 5" xfId="1969" xr:uid="{00000000-0005-0000-0000-0000A8090000}"/>
    <cellStyle name="Comma 4 3 4 5 2" xfId="4198" xr:uid="{00000000-0005-0000-0000-0000A9090000}"/>
    <cellStyle name="Comma 4 3 4 5 2 2" xfId="8420" xr:uid="{00000000-0005-0000-0000-0000AA090000}"/>
    <cellStyle name="Comma 4 3 4 5 2 2 2" xfId="16870" xr:uid="{A058034B-C854-426F-8A48-F9D183E63F9D}"/>
    <cellStyle name="Comma 4 3 4 5 2 3" xfId="12652" xr:uid="{F719A8E4-FE26-49A9-8386-97C9F387EA07}"/>
    <cellStyle name="Comma 4 3 4 5 3" xfId="6275" xr:uid="{00000000-0005-0000-0000-0000AB090000}"/>
    <cellStyle name="Comma 4 3 4 5 3 2" xfId="14725" xr:uid="{6FB5022C-9079-45C5-A806-47E5D9BC1E51}"/>
    <cellStyle name="Comma 4 3 4 5 4" xfId="10507" xr:uid="{76DF81DE-A58E-4DE9-A11B-372CCD0D1464}"/>
    <cellStyle name="Comma 4 3 4 6" xfId="2404" xr:uid="{00000000-0005-0000-0000-0000AC090000}"/>
    <cellStyle name="Comma 4 3 4 6 2" xfId="6688" xr:uid="{00000000-0005-0000-0000-0000AD090000}"/>
    <cellStyle name="Comma 4 3 4 6 2 2" xfId="15138" xr:uid="{547F7990-7490-4054-9AC0-DDFF354A8873}"/>
    <cellStyle name="Comma 4 3 4 6 3" xfId="10920" xr:uid="{7DBEEE15-D966-4555-8430-D59D1C77EC99}"/>
    <cellStyle name="Comma 4 3 4 7" xfId="2700" xr:uid="{00000000-0005-0000-0000-0000AE090000}"/>
    <cellStyle name="Comma 4 3 4 8" xfId="2782" xr:uid="{00000000-0005-0000-0000-0000AF090000}"/>
    <cellStyle name="Comma 4 3 4 8 2" xfId="7005" xr:uid="{00000000-0005-0000-0000-0000B0090000}"/>
    <cellStyle name="Comma 4 3 4 8 2 2" xfId="15455" xr:uid="{631DAFFF-01EF-4ADF-85D6-346DD4C2EA97}"/>
    <cellStyle name="Comma 4 3 4 8 3" xfId="11237" xr:uid="{51A550D7-0D47-4ECC-ABD4-9BECFCC5FA64}"/>
    <cellStyle name="Comma 4 3 4 9" xfId="4622" xr:uid="{00000000-0005-0000-0000-0000B1090000}"/>
    <cellStyle name="Comma 4 3 4 9 2" xfId="13072" xr:uid="{0F865C9D-E291-4C16-8F78-9A1D2DA60B24}"/>
    <cellStyle name="Comma 4 3 5" xfId="152" xr:uid="{00000000-0005-0000-0000-0000B2090000}"/>
    <cellStyle name="Comma 4 3 5 10" xfId="8855" xr:uid="{C8D94477-A259-4631-8F0D-FB1017824EFE}"/>
    <cellStyle name="Comma 4 3 5 2" xfId="689" xr:uid="{00000000-0005-0000-0000-0000B3090000}"/>
    <cellStyle name="Comma 4 3 5 2 2" xfId="2960" xr:uid="{00000000-0005-0000-0000-0000B4090000}"/>
    <cellStyle name="Comma 4 3 5 2 2 2" xfId="7182" xr:uid="{00000000-0005-0000-0000-0000B5090000}"/>
    <cellStyle name="Comma 4 3 5 2 2 2 2" xfId="15632" xr:uid="{CFEAC7F7-6B40-4F5A-BBE5-CF547BC4D768}"/>
    <cellStyle name="Comma 4 3 5 2 2 3" xfId="11414" xr:uid="{0FDF469C-6416-48C7-8893-96531EDAF1BE}"/>
    <cellStyle name="Comma 4 3 5 2 3" xfId="5037" xr:uid="{00000000-0005-0000-0000-0000B6090000}"/>
    <cellStyle name="Comma 4 3 5 2 3 2" xfId="13487" xr:uid="{475457D0-DDED-46C3-9180-EB4A59A8412A}"/>
    <cellStyle name="Comma 4 3 5 2 4" xfId="9269" xr:uid="{1F7BF55B-CB6B-4F5E-9651-A5AC1A6484BC}"/>
    <cellStyle name="Comma 4 3 5 3" xfId="1142" xr:uid="{00000000-0005-0000-0000-0000B7090000}"/>
    <cellStyle name="Comma 4 3 5 3 2" xfId="3373" xr:uid="{00000000-0005-0000-0000-0000B8090000}"/>
    <cellStyle name="Comma 4 3 5 3 2 2" xfId="7595" xr:uid="{00000000-0005-0000-0000-0000B9090000}"/>
    <cellStyle name="Comma 4 3 5 3 2 2 2" xfId="16045" xr:uid="{B19E05FA-3FD8-481D-BE51-F8E78C3FFC0F}"/>
    <cellStyle name="Comma 4 3 5 3 2 3" xfId="11827" xr:uid="{7ED79DD4-6951-4879-80A9-765AD598908E}"/>
    <cellStyle name="Comma 4 3 5 3 3" xfId="5450" xr:uid="{00000000-0005-0000-0000-0000BA090000}"/>
    <cellStyle name="Comma 4 3 5 3 3 2" xfId="13900" xr:uid="{105CCEDD-D817-4E3D-8C61-9801ACE1BAAD}"/>
    <cellStyle name="Comma 4 3 5 3 4" xfId="9682" xr:uid="{51FF09F3-DF54-4DC3-8145-03976F2EA72D}"/>
    <cellStyle name="Comma 4 3 5 4" xfId="1556" xr:uid="{00000000-0005-0000-0000-0000BB090000}"/>
    <cellStyle name="Comma 4 3 5 4 2" xfId="3786" xr:uid="{00000000-0005-0000-0000-0000BC090000}"/>
    <cellStyle name="Comma 4 3 5 4 2 2" xfId="8008" xr:uid="{00000000-0005-0000-0000-0000BD090000}"/>
    <cellStyle name="Comma 4 3 5 4 2 2 2" xfId="16458" xr:uid="{789F93AD-4FD7-4377-8762-5508C55B3485}"/>
    <cellStyle name="Comma 4 3 5 4 2 3" xfId="12240" xr:uid="{EDA0EAD6-36D5-49BD-ACC8-0E7897677327}"/>
    <cellStyle name="Comma 4 3 5 4 3" xfId="5863" xr:uid="{00000000-0005-0000-0000-0000BE090000}"/>
    <cellStyle name="Comma 4 3 5 4 3 2" xfId="14313" xr:uid="{67C174AA-E55F-4B93-8623-EA5464C547C5}"/>
    <cellStyle name="Comma 4 3 5 4 4" xfId="10095" xr:uid="{33012C64-EC87-44D2-9170-14E6A0C463B6}"/>
    <cellStyle name="Comma 4 3 5 5" xfId="1970" xr:uid="{00000000-0005-0000-0000-0000BF090000}"/>
    <cellStyle name="Comma 4 3 5 5 2" xfId="4199" xr:uid="{00000000-0005-0000-0000-0000C0090000}"/>
    <cellStyle name="Comma 4 3 5 5 2 2" xfId="8421" xr:uid="{00000000-0005-0000-0000-0000C1090000}"/>
    <cellStyle name="Comma 4 3 5 5 2 2 2" xfId="16871" xr:uid="{8D1E0ECA-D853-4113-894D-1AABFEFCE1CC}"/>
    <cellStyle name="Comma 4 3 5 5 2 3" xfId="12653" xr:uid="{8CAEE986-29E5-43D7-A423-E92993DCB9D3}"/>
    <cellStyle name="Comma 4 3 5 5 3" xfId="6276" xr:uid="{00000000-0005-0000-0000-0000C2090000}"/>
    <cellStyle name="Comma 4 3 5 5 3 2" xfId="14726" xr:uid="{E695193E-B859-4190-8EFC-A19AC6198AEA}"/>
    <cellStyle name="Comma 4 3 5 5 4" xfId="10508" xr:uid="{BE390B7E-17DE-4429-9095-A371CFFD0156}"/>
    <cellStyle name="Comma 4 3 5 6" xfId="2405" xr:uid="{00000000-0005-0000-0000-0000C3090000}"/>
    <cellStyle name="Comma 4 3 5 6 2" xfId="6689" xr:uid="{00000000-0005-0000-0000-0000C4090000}"/>
    <cellStyle name="Comma 4 3 5 6 2 2" xfId="15139" xr:uid="{9E2A1B1F-2D5D-4BB0-BE27-7C9FC17F19FD}"/>
    <cellStyle name="Comma 4 3 5 6 3" xfId="10921" xr:uid="{140E791C-BDEE-4D9F-8DC8-E90B60089286}"/>
    <cellStyle name="Comma 4 3 5 7" xfId="2701" xr:uid="{00000000-0005-0000-0000-0000C5090000}"/>
    <cellStyle name="Comma 4 3 5 8" xfId="2783" xr:uid="{00000000-0005-0000-0000-0000C6090000}"/>
    <cellStyle name="Comma 4 3 5 8 2" xfId="7006" xr:uid="{00000000-0005-0000-0000-0000C7090000}"/>
    <cellStyle name="Comma 4 3 5 8 2 2" xfId="15456" xr:uid="{74064E2C-2FC2-4947-B3E6-1034C4059A9A}"/>
    <cellStyle name="Comma 4 3 5 8 3" xfId="11238" xr:uid="{7C9414B7-647A-4F61-8A04-F7FF8F00363A}"/>
    <cellStyle name="Comma 4 3 5 9" xfId="4623" xr:uid="{00000000-0005-0000-0000-0000C8090000}"/>
    <cellStyle name="Comma 4 3 5 9 2" xfId="13073" xr:uid="{BFF8EEF2-46D8-4930-828B-81A79E8F3691}"/>
    <cellStyle name="Comma 4 4" xfId="153" xr:uid="{00000000-0005-0000-0000-0000C9090000}"/>
    <cellStyle name="Comma 4 4 10" xfId="2784" xr:uid="{00000000-0005-0000-0000-0000CA090000}"/>
    <cellStyle name="Comma 4 4 10 2" xfId="7007" xr:uid="{00000000-0005-0000-0000-0000CB090000}"/>
    <cellStyle name="Comma 4 4 10 2 2" xfId="15457" xr:uid="{FFD2CE5B-EEEA-4C3F-9ECA-890517AD25E7}"/>
    <cellStyle name="Comma 4 4 10 3" xfId="11239" xr:uid="{215DCCFA-37AF-4B64-96E2-61332B4F00A1}"/>
    <cellStyle name="Comma 4 4 11" xfId="4624" xr:uid="{00000000-0005-0000-0000-0000CC090000}"/>
    <cellStyle name="Comma 4 4 11 2" xfId="13074" xr:uid="{4EDC3634-CF4E-4B23-A944-2CBF3D31E44A}"/>
    <cellStyle name="Comma 4 4 12" xfId="8856" xr:uid="{9C0B289F-86F3-46DA-9A45-E75E150F1E07}"/>
    <cellStyle name="Comma 4 4 2" xfId="154" xr:uid="{00000000-0005-0000-0000-0000CD090000}"/>
    <cellStyle name="Comma 4 4 2 10" xfId="4625" xr:uid="{00000000-0005-0000-0000-0000CE090000}"/>
    <cellStyle name="Comma 4 4 2 10 2" xfId="13075" xr:uid="{C5EACFBA-3600-44A4-A527-CB556A1E8C6A}"/>
    <cellStyle name="Comma 4 4 2 11" xfId="8857" xr:uid="{A8AA841F-B02F-409E-B33A-C0366AE770BF}"/>
    <cellStyle name="Comma 4 4 2 2" xfId="155" xr:uid="{00000000-0005-0000-0000-0000CF090000}"/>
    <cellStyle name="Comma 4 4 2 2 10" xfId="8858" xr:uid="{E5C42680-6E8D-4FD1-A00C-B98F5A94B2A4}"/>
    <cellStyle name="Comma 4 4 2 2 2" xfId="692" xr:uid="{00000000-0005-0000-0000-0000D0090000}"/>
    <cellStyle name="Comma 4 4 2 2 2 2" xfId="2963" xr:uid="{00000000-0005-0000-0000-0000D1090000}"/>
    <cellStyle name="Comma 4 4 2 2 2 2 2" xfId="7185" xr:uid="{00000000-0005-0000-0000-0000D2090000}"/>
    <cellStyle name="Comma 4 4 2 2 2 2 2 2" xfId="15635" xr:uid="{F4659546-A0B6-4717-AFCB-742C7FA63037}"/>
    <cellStyle name="Comma 4 4 2 2 2 2 3" xfId="11417" xr:uid="{BA6FB4D0-ADA4-4724-B203-29F922DC6A15}"/>
    <cellStyle name="Comma 4 4 2 2 2 3" xfId="5040" xr:uid="{00000000-0005-0000-0000-0000D3090000}"/>
    <cellStyle name="Comma 4 4 2 2 2 3 2" xfId="13490" xr:uid="{525A4E17-CBD4-4D8B-8224-3B5E7FC41C8A}"/>
    <cellStyle name="Comma 4 4 2 2 2 4" xfId="9272" xr:uid="{3246CB25-8134-4FE7-882C-CE76618F7F2E}"/>
    <cellStyle name="Comma 4 4 2 2 3" xfId="1145" xr:uid="{00000000-0005-0000-0000-0000D4090000}"/>
    <cellStyle name="Comma 4 4 2 2 3 2" xfId="3376" xr:uid="{00000000-0005-0000-0000-0000D5090000}"/>
    <cellStyle name="Comma 4 4 2 2 3 2 2" xfId="7598" xr:uid="{00000000-0005-0000-0000-0000D6090000}"/>
    <cellStyle name="Comma 4 4 2 2 3 2 2 2" xfId="16048" xr:uid="{0C2633A9-EFD7-4A7F-9D0F-37DD8DD32C03}"/>
    <cellStyle name="Comma 4 4 2 2 3 2 3" xfId="11830" xr:uid="{04CD7ACC-6AC7-4627-92C8-317AA304E2C3}"/>
    <cellStyle name="Comma 4 4 2 2 3 3" xfId="5453" xr:uid="{00000000-0005-0000-0000-0000D7090000}"/>
    <cellStyle name="Comma 4 4 2 2 3 3 2" xfId="13903" xr:uid="{97634760-B157-484E-BB94-DBC4359BAC05}"/>
    <cellStyle name="Comma 4 4 2 2 3 4" xfId="9685" xr:uid="{E2AFF1FD-8864-46A2-8C51-B17F75630104}"/>
    <cellStyle name="Comma 4 4 2 2 4" xfId="1559" xr:uid="{00000000-0005-0000-0000-0000D8090000}"/>
    <cellStyle name="Comma 4 4 2 2 4 2" xfId="3789" xr:uid="{00000000-0005-0000-0000-0000D9090000}"/>
    <cellStyle name="Comma 4 4 2 2 4 2 2" xfId="8011" xr:uid="{00000000-0005-0000-0000-0000DA090000}"/>
    <cellStyle name="Comma 4 4 2 2 4 2 2 2" xfId="16461" xr:uid="{A386C6B6-E86E-4D2A-8AB5-0723EE669007}"/>
    <cellStyle name="Comma 4 4 2 2 4 2 3" xfId="12243" xr:uid="{7369F201-D509-4F74-8A35-94A37E15B0E9}"/>
    <cellStyle name="Comma 4 4 2 2 4 3" xfId="5866" xr:uid="{00000000-0005-0000-0000-0000DB090000}"/>
    <cellStyle name="Comma 4 4 2 2 4 3 2" xfId="14316" xr:uid="{B4EAEE3D-3C1F-4A12-B0C2-DD7FD3DA0AC8}"/>
    <cellStyle name="Comma 4 4 2 2 4 4" xfId="10098" xr:uid="{6DF5B6DB-1BD6-465E-A189-E2943E31EEC3}"/>
    <cellStyle name="Comma 4 4 2 2 5" xfId="1973" xr:uid="{00000000-0005-0000-0000-0000DC090000}"/>
    <cellStyle name="Comma 4 4 2 2 5 2" xfId="4202" xr:uid="{00000000-0005-0000-0000-0000DD090000}"/>
    <cellStyle name="Comma 4 4 2 2 5 2 2" xfId="8424" xr:uid="{00000000-0005-0000-0000-0000DE090000}"/>
    <cellStyle name="Comma 4 4 2 2 5 2 2 2" xfId="16874" xr:uid="{14AACF73-62A0-4ED9-A83C-307960445168}"/>
    <cellStyle name="Comma 4 4 2 2 5 2 3" xfId="12656" xr:uid="{4F89E141-A6DB-4ACC-9E58-5D4773E93E60}"/>
    <cellStyle name="Comma 4 4 2 2 5 3" xfId="6279" xr:uid="{00000000-0005-0000-0000-0000DF090000}"/>
    <cellStyle name="Comma 4 4 2 2 5 3 2" xfId="14729" xr:uid="{6C2C439E-F5EF-4A91-AA85-6218F8C1396D}"/>
    <cellStyle name="Comma 4 4 2 2 5 4" xfId="10511" xr:uid="{A98A75F6-A0B1-4F7C-8D0E-8ECF01AD17E1}"/>
    <cellStyle name="Comma 4 4 2 2 6" xfId="2408" xr:uid="{00000000-0005-0000-0000-0000E0090000}"/>
    <cellStyle name="Comma 4 4 2 2 6 2" xfId="6692" xr:uid="{00000000-0005-0000-0000-0000E1090000}"/>
    <cellStyle name="Comma 4 4 2 2 6 2 2" xfId="15142" xr:uid="{5133E77F-E67C-4F5A-A209-92BDE2882138}"/>
    <cellStyle name="Comma 4 4 2 2 6 3" xfId="10924" xr:uid="{D9607089-2CEB-4C1D-AD6D-F5CBDF78C7F6}"/>
    <cellStyle name="Comma 4 4 2 2 7" xfId="2704" xr:uid="{00000000-0005-0000-0000-0000E2090000}"/>
    <cellStyle name="Comma 4 4 2 2 8" xfId="2786" xr:uid="{00000000-0005-0000-0000-0000E3090000}"/>
    <cellStyle name="Comma 4 4 2 2 8 2" xfId="7009" xr:uid="{00000000-0005-0000-0000-0000E4090000}"/>
    <cellStyle name="Comma 4 4 2 2 8 2 2" xfId="15459" xr:uid="{B96F8F52-6479-47F4-B8FD-63BE7E9B7937}"/>
    <cellStyle name="Comma 4 4 2 2 8 3" xfId="11241" xr:uid="{5B9828F6-E21D-4B31-AFD7-063E2A7106C2}"/>
    <cellStyle name="Comma 4 4 2 2 9" xfId="4626" xr:uid="{00000000-0005-0000-0000-0000E5090000}"/>
    <cellStyle name="Comma 4 4 2 2 9 2" xfId="13076" xr:uid="{D9BCB626-13E1-4436-8241-B56978FF03D1}"/>
    <cellStyle name="Comma 4 4 2 3" xfId="691" xr:uid="{00000000-0005-0000-0000-0000E6090000}"/>
    <cellStyle name="Comma 4 4 2 3 2" xfId="2962" xr:uid="{00000000-0005-0000-0000-0000E7090000}"/>
    <cellStyle name="Comma 4 4 2 3 2 2" xfId="7184" xr:uid="{00000000-0005-0000-0000-0000E8090000}"/>
    <cellStyle name="Comma 4 4 2 3 2 2 2" xfId="15634" xr:uid="{B7752780-DDB1-42C4-82B2-A2BCD393B6B2}"/>
    <cellStyle name="Comma 4 4 2 3 2 3" xfId="11416" xr:uid="{74A1280D-B204-45BF-8155-140479871DFD}"/>
    <cellStyle name="Comma 4 4 2 3 3" xfId="5039" xr:uid="{00000000-0005-0000-0000-0000E9090000}"/>
    <cellStyle name="Comma 4 4 2 3 3 2" xfId="13489" xr:uid="{1492F68C-C05C-49A0-9255-6EADD8546006}"/>
    <cellStyle name="Comma 4 4 2 3 4" xfId="9271" xr:uid="{C35D48F7-9C3F-4908-BA1C-EC2B12EC0B10}"/>
    <cellStyle name="Comma 4 4 2 4" xfId="1144" xr:uid="{00000000-0005-0000-0000-0000EA090000}"/>
    <cellStyle name="Comma 4 4 2 4 2" xfId="3375" xr:uid="{00000000-0005-0000-0000-0000EB090000}"/>
    <cellStyle name="Comma 4 4 2 4 2 2" xfId="7597" xr:uid="{00000000-0005-0000-0000-0000EC090000}"/>
    <cellStyle name="Comma 4 4 2 4 2 2 2" xfId="16047" xr:uid="{37E0DE99-9DC5-409E-92B9-F0E654C07882}"/>
    <cellStyle name="Comma 4 4 2 4 2 3" xfId="11829" xr:uid="{1B68A85F-77CB-406B-AEBF-8142DD1D402C}"/>
    <cellStyle name="Comma 4 4 2 4 3" xfId="5452" xr:uid="{00000000-0005-0000-0000-0000ED090000}"/>
    <cellStyle name="Comma 4 4 2 4 3 2" xfId="13902" xr:uid="{62D4B0E1-A671-49C1-BCD8-0B22E0B94A2D}"/>
    <cellStyle name="Comma 4 4 2 4 4" xfId="9684" xr:uid="{9654B684-B107-40B2-9A86-345E4CD425BB}"/>
    <cellStyle name="Comma 4 4 2 5" xfId="1558" xr:uid="{00000000-0005-0000-0000-0000EE090000}"/>
    <cellStyle name="Comma 4 4 2 5 2" xfId="3788" xr:uid="{00000000-0005-0000-0000-0000EF090000}"/>
    <cellStyle name="Comma 4 4 2 5 2 2" xfId="8010" xr:uid="{00000000-0005-0000-0000-0000F0090000}"/>
    <cellStyle name="Comma 4 4 2 5 2 2 2" xfId="16460" xr:uid="{76482E73-7D74-4342-A004-12357A56693A}"/>
    <cellStyle name="Comma 4 4 2 5 2 3" xfId="12242" xr:uid="{EF29F86C-E687-4D34-BE9F-16F19242E32B}"/>
    <cellStyle name="Comma 4 4 2 5 3" xfId="5865" xr:uid="{00000000-0005-0000-0000-0000F1090000}"/>
    <cellStyle name="Comma 4 4 2 5 3 2" xfId="14315" xr:uid="{6BB6568B-7607-4C1A-BB3C-3586445609B3}"/>
    <cellStyle name="Comma 4 4 2 5 4" xfId="10097" xr:uid="{88430B85-B7EF-4D99-8566-8540A6F19B25}"/>
    <cellStyle name="Comma 4 4 2 6" xfId="1972" xr:uid="{00000000-0005-0000-0000-0000F2090000}"/>
    <cellStyle name="Comma 4 4 2 6 2" xfId="4201" xr:uid="{00000000-0005-0000-0000-0000F3090000}"/>
    <cellStyle name="Comma 4 4 2 6 2 2" xfId="8423" xr:uid="{00000000-0005-0000-0000-0000F4090000}"/>
    <cellStyle name="Comma 4 4 2 6 2 2 2" xfId="16873" xr:uid="{02B58E69-A74A-48EA-86CA-55EEAA89C707}"/>
    <cellStyle name="Comma 4 4 2 6 2 3" xfId="12655" xr:uid="{7522D1EA-77E1-4458-83C8-5F56ED7FDEF6}"/>
    <cellStyle name="Comma 4 4 2 6 3" xfId="6278" xr:uid="{00000000-0005-0000-0000-0000F5090000}"/>
    <cellStyle name="Comma 4 4 2 6 3 2" xfId="14728" xr:uid="{E3288A83-A158-4D1A-95AF-E9F3206F30A9}"/>
    <cellStyle name="Comma 4 4 2 6 4" xfId="10510" xr:uid="{72A8B23A-1E0E-4EE2-BB2C-BAB6AADFA8CA}"/>
    <cellStyle name="Comma 4 4 2 7" xfId="2407" xr:uid="{00000000-0005-0000-0000-0000F6090000}"/>
    <cellStyle name="Comma 4 4 2 7 2" xfId="6691" xr:uid="{00000000-0005-0000-0000-0000F7090000}"/>
    <cellStyle name="Comma 4 4 2 7 2 2" xfId="15141" xr:uid="{D8105388-3E07-4250-908E-02A921A36F86}"/>
    <cellStyle name="Comma 4 4 2 7 3" xfId="10923" xr:uid="{0EB786A2-88C5-41AF-A23A-703255B0E87B}"/>
    <cellStyle name="Comma 4 4 2 8" xfId="2703" xr:uid="{00000000-0005-0000-0000-0000F8090000}"/>
    <cellStyle name="Comma 4 4 2 9" xfId="2785" xr:uid="{00000000-0005-0000-0000-0000F9090000}"/>
    <cellStyle name="Comma 4 4 2 9 2" xfId="7008" xr:uid="{00000000-0005-0000-0000-0000FA090000}"/>
    <cellStyle name="Comma 4 4 2 9 2 2" xfId="15458" xr:uid="{8495A162-A02A-4263-9738-4132D1BB2AAA}"/>
    <cellStyle name="Comma 4 4 2 9 3" xfId="11240" xr:uid="{D15C7E7F-809F-4E78-933B-9ED9FB46C50E}"/>
    <cellStyle name="Comma 4 4 3" xfId="156" xr:uid="{00000000-0005-0000-0000-0000FB090000}"/>
    <cellStyle name="Comma 4 4 3 10" xfId="8859" xr:uid="{285C6359-3495-406A-8017-45588926F9F1}"/>
    <cellStyle name="Comma 4 4 3 2" xfId="693" xr:uid="{00000000-0005-0000-0000-0000FC090000}"/>
    <cellStyle name="Comma 4 4 3 2 2" xfId="2964" xr:uid="{00000000-0005-0000-0000-0000FD090000}"/>
    <cellStyle name="Comma 4 4 3 2 2 2" xfId="7186" xr:uid="{00000000-0005-0000-0000-0000FE090000}"/>
    <cellStyle name="Comma 4 4 3 2 2 2 2" xfId="15636" xr:uid="{F3C36986-00E5-44EB-AB99-54E99E290DCE}"/>
    <cellStyle name="Comma 4 4 3 2 2 3" xfId="11418" xr:uid="{F65393BB-0309-4B36-80CF-2E4B5524BE87}"/>
    <cellStyle name="Comma 4 4 3 2 3" xfId="5041" xr:uid="{00000000-0005-0000-0000-0000FF090000}"/>
    <cellStyle name="Comma 4 4 3 2 3 2" xfId="13491" xr:uid="{2FF75C36-CFB9-494A-835D-9B823392F38D}"/>
    <cellStyle name="Comma 4 4 3 2 4" xfId="9273" xr:uid="{E5880124-E71D-486D-A856-2EE9EFFBAA2D}"/>
    <cellStyle name="Comma 4 4 3 3" xfId="1146" xr:uid="{00000000-0005-0000-0000-0000000A0000}"/>
    <cellStyle name="Comma 4 4 3 3 2" xfId="3377" xr:uid="{00000000-0005-0000-0000-0000010A0000}"/>
    <cellStyle name="Comma 4 4 3 3 2 2" xfId="7599" xr:uid="{00000000-0005-0000-0000-0000020A0000}"/>
    <cellStyle name="Comma 4 4 3 3 2 2 2" xfId="16049" xr:uid="{12807A1E-23A7-4959-BD28-021493E03252}"/>
    <cellStyle name="Comma 4 4 3 3 2 3" xfId="11831" xr:uid="{1D80952F-81DA-453A-8D67-9A69AF55F049}"/>
    <cellStyle name="Comma 4 4 3 3 3" xfId="5454" xr:uid="{00000000-0005-0000-0000-0000030A0000}"/>
    <cellStyle name="Comma 4 4 3 3 3 2" xfId="13904" xr:uid="{3F95D5B2-C5F3-4999-8C9E-A2D1C527665D}"/>
    <cellStyle name="Comma 4 4 3 3 4" xfId="9686" xr:uid="{86448685-A30E-4E5B-9478-2C8091FE1C2A}"/>
    <cellStyle name="Comma 4 4 3 4" xfId="1560" xr:uid="{00000000-0005-0000-0000-0000040A0000}"/>
    <cellStyle name="Comma 4 4 3 4 2" xfId="3790" xr:uid="{00000000-0005-0000-0000-0000050A0000}"/>
    <cellStyle name="Comma 4 4 3 4 2 2" xfId="8012" xr:uid="{00000000-0005-0000-0000-0000060A0000}"/>
    <cellStyle name="Comma 4 4 3 4 2 2 2" xfId="16462" xr:uid="{F409D5B9-60F8-4970-AFED-0A181BDB548C}"/>
    <cellStyle name="Comma 4 4 3 4 2 3" xfId="12244" xr:uid="{143A1580-3DDD-4FBD-A09E-4E82F2EF250F}"/>
    <cellStyle name="Comma 4 4 3 4 3" xfId="5867" xr:uid="{00000000-0005-0000-0000-0000070A0000}"/>
    <cellStyle name="Comma 4 4 3 4 3 2" xfId="14317" xr:uid="{9E26F757-CE3B-4879-9A48-219504B9CDF8}"/>
    <cellStyle name="Comma 4 4 3 4 4" xfId="10099" xr:uid="{670F64D1-C9D3-4520-B89B-BE4486397D9F}"/>
    <cellStyle name="Comma 4 4 3 5" xfId="1974" xr:uid="{00000000-0005-0000-0000-0000080A0000}"/>
    <cellStyle name="Comma 4 4 3 5 2" xfId="4203" xr:uid="{00000000-0005-0000-0000-0000090A0000}"/>
    <cellStyle name="Comma 4 4 3 5 2 2" xfId="8425" xr:uid="{00000000-0005-0000-0000-00000A0A0000}"/>
    <cellStyle name="Comma 4 4 3 5 2 2 2" xfId="16875" xr:uid="{D45AD21F-FAF2-45B5-9D13-273744B42A6F}"/>
    <cellStyle name="Comma 4 4 3 5 2 3" xfId="12657" xr:uid="{808BDDA6-53F7-41E1-8EBD-4CE4266A7088}"/>
    <cellStyle name="Comma 4 4 3 5 3" xfId="6280" xr:uid="{00000000-0005-0000-0000-00000B0A0000}"/>
    <cellStyle name="Comma 4 4 3 5 3 2" xfId="14730" xr:uid="{C5D24B95-4505-437E-96B5-39FCE8D78384}"/>
    <cellStyle name="Comma 4 4 3 5 4" xfId="10512" xr:uid="{43650E78-8968-45C1-82D7-41D3C1BFA359}"/>
    <cellStyle name="Comma 4 4 3 6" xfId="2409" xr:uid="{00000000-0005-0000-0000-00000C0A0000}"/>
    <cellStyle name="Comma 4 4 3 6 2" xfId="6693" xr:uid="{00000000-0005-0000-0000-00000D0A0000}"/>
    <cellStyle name="Comma 4 4 3 6 2 2" xfId="15143" xr:uid="{7D1D5CA1-9630-41B6-9AE4-F5A292B97541}"/>
    <cellStyle name="Comma 4 4 3 6 3" xfId="10925" xr:uid="{2BA515B1-E410-48EA-A086-89DBB4CE6B65}"/>
    <cellStyle name="Comma 4 4 3 7" xfId="2705" xr:uid="{00000000-0005-0000-0000-00000E0A0000}"/>
    <cellStyle name="Comma 4 4 3 8" xfId="2787" xr:uid="{00000000-0005-0000-0000-00000F0A0000}"/>
    <cellStyle name="Comma 4 4 3 8 2" xfId="7010" xr:uid="{00000000-0005-0000-0000-0000100A0000}"/>
    <cellStyle name="Comma 4 4 3 8 2 2" xfId="15460" xr:uid="{9D24D765-9DF1-4144-BB59-61D64EF536E3}"/>
    <cellStyle name="Comma 4 4 3 8 3" xfId="11242" xr:uid="{57B73FD2-3D8B-4E9F-B579-DACF77F12673}"/>
    <cellStyle name="Comma 4 4 3 9" xfId="4627" xr:uid="{00000000-0005-0000-0000-0000110A0000}"/>
    <cellStyle name="Comma 4 4 3 9 2" xfId="13077" xr:uid="{A089BAEF-D35D-4EB6-B6E2-1C3B162E98DA}"/>
    <cellStyle name="Comma 4 4 4" xfId="690" xr:uid="{00000000-0005-0000-0000-0000120A0000}"/>
    <cellStyle name="Comma 4 4 4 2" xfId="2961" xr:uid="{00000000-0005-0000-0000-0000130A0000}"/>
    <cellStyle name="Comma 4 4 4 2 2" xfId="7183" xr:uid="{00000000-0005-0000-0000-0000140A0000}"/>
    <cellStyle name="Comma 4 4 4 2 2 2" xfId="15633" xr:uid="{4DCF2E07-C598-4051-9DC9-D3E95E48A37A}"/>
    <cellStyle name="Comma 4 4 4 2 3" xfId="11415" xr:uid="{09B5CCDA-8DD4-4593-ABF9-4D133921FE38}"/>
    <cellStyle name="Comma 4 4 4 3" xfId="5038" xr:uid="{00000000-0005-0000-0000-0000150A0000}"/>
    <cellStyle name="Comma 4 4 4 3 2" xfId="13488" xr:uid="{89A3B881-FA25-4B40-9813-80976C1C4293}"/>
    <cellStyle name="Comma 4 4 4 4" xfId="9270" xr:uid="{2A90E181-A148-4C0F-B536-B12BBD63E97E}"/>
    <cellStyle name="Comma 4 4 5" xfId="1143" xr:uid="{00000000-0005-0000-0000-0000160A0000}"/>
    <cellStyle name="Comma 4 4 5 2" xfId="3374" xr:uid="{00000000-0005-0000-0000-0000170A0000}"/>
    <cellStyle name="Comma 4 4 5 2 2" xfId="7596" xr:uid="{00000000-0005-0000-0000-0000180A0000}"/>
    <cellStyle name="Comma 4 4 5 2 2 2" xfId="16046" xr:uid="{40D9F9B4-4AAA-4393-ADEF-699995202E4F}"/>
    <cellStyle name="Comma 4 4 5 2 3" xfId="11828" xr:uid="{1F2448BC-D58C-4B29-B586-35C7AF15E7D1}"/>
    <cellStyle name="Comma 4 4 5 3" xfId="5451" xr:uid="{00000000-0005-0000-0000-0000190A0000}"/>
    <cellStyle name="Comma 4 4 5 3 2" xfId="13901" xr:uid="{1D9DAF75-CE27-4768-BBC3-6177620BA942}"/>
    <cellStyle name="Comma 4 4 5 4" xfId="9683" xr:uid="{46FBFBA5-C5C4-4CD1-8C55-2A81866E6C8C}"/>
    <cellStyle name="Comma 4 4 6" xfId="1557" xr:uid="{00000000-0005-0000-0000-00001A0A0000}"/>
    <cellStyle name="Comma 4 4 6 2" xfId="3787" xr:uid="{00000000-0005-0000-0000-00001B0A0000}"/>
    <cellStyle name="Comma 4 4 6 2 2" xfId="8009" xr:uid="{00000000-0005-0000-0000-00001C0A0000}"/>
    <cellStyle name="Comma 4 4 6 2 2 2" xfId="16459" xr:uid="{BD585AF7-1690-4B99-834E-F7C7D31D9B87}"/>
    <cellStyle name="Comma 4 4 6 2 3" xfId="12241" xr:uid="{9056E6B3-66D6-4AC3-ADD1-7980E8A4CB73}"/>
    <cellStyle name="Comma 4 4 6 3" xfId="5864" xr:uid="{00000000-0005-0000-0000-00001D0A0000}"/>
    <cellStyle name="Comma 4 4 6 3 2" xfId="14314" xr:uid="{25A5A698-541F-4258-ABB0-318C1EF68D91}"/>
    <cellStyle name="Comma 4 4 6 4" xfId="10096" xr:uid="{5D22510F-5617-4D60-8C79-CFFC0CAAC33F}"/>
    <cellStyle name="Comma 4 4 7" xfId="1971" xr:uid="{00000000-0005-0000-0000-00001E0A0000}"/>
    <cellStyle name="Comma 4 4 7 2" xfId="4200" xr:uid="{00000000-0005-0000-0000-00001F0A0000}"/>
    <cellStyle name="Comma 4 4 7 2 2" xfId="8422" xr:uid="{00000000-0005-0000-0000-0000200A0000}"/>
    <cellStyle name="Comma 4 4 7 2 2 2" xfId="16872" xr:uid="{F6BAECF9-4327-400D-9A0B-FA0C7E4E2541}"/>
    <cellStyle name="Comma 4 4 7 2 3" xfId="12654" xr:uid="{84EA9761-B09F-4972-8076-F46CCFF3A4D3}"/>
    <cellStyle name="Comma 4 4 7 3" xfId="6277" xr:uid="{00000000-0005-0000-0000-0000210A0000}"/>
    <cellStyle name="Comma 4 4 7 3 2" xfId="14727" xr:uid="{20FC0E3A-6B19-4D13-802B-1320C0BF2652}"/>
    <cellStyle name="Comma 4 4 7 4" xfId="10509" xr:uid="{7F4F5C16-00B7-455B-84B9-8933F1AB2767}"/>
    <cellStyle name="Comma 4 4 8" xfId="2406" xr:uid="{00000000-0005-0000-0000-0000220A0000}"/>
    <cellStyle name="Comma 4 4 8 2" xfId="6690" xr:uid="{00000000-0005-0000-0000-0000230A0000}"/>
    <cellStyle name="Comma 4 4 8 2 2" xfId="15140" xr:uid="{12EA9FEF-2323-46A0-A3A1-5EDFC799D1BC}"/>
    <cellStyle name="Comma 4 4 8 3" xfId="10922" xr:uid="{3B6710C8-F482-4550-BD3A-954B02670C81}"/>
    <cellStyle name="Comma 4 4 9" xfId="2702" xr:uid="{00000000-0005-0000-0000-0000240A0000}"/>
    <cellStyle name="Comma 4 5" xfId="157" xr:uid="{00000000-0005-0000-0000-0000250A0000}"/>
    <cellStyle name="Comma 4 5 10" xfId="4628" xr:uid="{00000000-0005-0000-0000-0000260A0000}"/>
    <cellStyle name="Comma 4 5 10 2" xfId="13078" xr:uid="{E0C87993-C5ED-41B1-A9F5-5AA442AA0A7A}"/>
    <cellStyle name="Comma 4 5 11" xfId="8860" xr:uid="{C46DA1DA-29A5-455F-AB01-CC993BC122D5}"/>
    <cellStyle name="Comma 4 5 2" xfId="158" xr:uid="{00000000-0005-0000-0000-0000270A0000}"/>
    <cellStyle name="Comma 4 5 2 10" xfId="8861" xr:uid="{604C1BBC-92FA-4F19-80C6-9627F9C3F235}"/>
    <cellStyle name="Comma 4 5 2 2" xfId="695" xr:uid="{00000000-0005-0000-0000-0000280A0000}"/>
    <cellStyle name="Comma 4 5 2 2 2" xfId="2966" xr:uid="{00000000-0005-0000-0000-0000290A0000}"/>
    <cellStyle name="Comma 4 5 2 2 2 2" xfId="7188" xr:uid="{00000000-0005-0000-0000-00002A0A0000}"/>
    <cellStyle name="Comma 4 5 2 2 2 2 2" xfId="15638" xr:uid="{0C2952E4-B6F5-4993-8ECE-E407BF19B73D}"/>
    <cellStyle name="Comma 4 5 2 2 2 3" xfId="11420" xr:uid="{C6AEA9B4-7C60-48A5-B750-3E7FA5417621}"/>
    <cellStyle name="Comma 4 5 2 2 3" xfId="5043" xr:uid="{00000000-0005-0000-0000-00002B0A0000}"/>
    <cellStyle name="Comma 4 5 2 2 3 2" xfId="13493" xr:uid="{DEC1090E-5D75-4180-A9A0-24A3B61A46FC}"/>
    <cellStyle name="Comma 4 5 2 2 4" xfId="9275" xr:uid="{0051A96A-E9F4-423B-96F1-723B337EF881}"/>
    <cellStyle name="Comma 4 5 2 3" xfId="1148" xr:uid="{00000000-0005-0000-0000-00002C0A0000}"/>
    <cellStyle name="Comma 4 5 2 3 2" xfId="3379" xr:uid="{00000000-0005-0000-0000-00002D0A0000}"/>
    <cellStyle name="Comma 4 5 2 3 2 2" xfId="7601" xr:uid="{00000000-0005-0000-0000-00002E0A0000}"/>
    <cellStyle name="Comma 4 5 2 3 2 2 2" xfId="16051" xr:uid="{ABC3AD22-1D7B-4DCF-8D4A-2B38933859EA}"/>
    <cellStyle name="Comma 4 5 2 3 2 3" xfId="11833" xr:uid="{7C460544-AD80-4E47-A33C-FDF1ECC65F98}"/>
    <cellStyle name="Comma 4 5 2 3 3" xfId="5456" xr:uid="{00000000-0005-0000-0000-00002F0A0000}"/>
    <cellStyle name="Comma 4 5 2 3 3 2" xfId="13906" xr:uid="{0ACE1214-0F28-43AB-B1CD-F9CBC73F3E05}"/>
    <cellStyle name="Comma 4 5 2 3 4" xfId="9688" xr:uid="{E5C09DB2-6999-44FD-9C60-850F08BEEEFD}"/>
    <cellStyle name="Comma 4 5 2 4" xfId="1562" xr:uid="{00000000-0005-0000-0000-0000300A0000}"/>
    <cellStyle name="Comma 4 5 2 4 2" xfId="3792" xr:uid="{00000000-0005-0000-0000-0000310A0000}"/>
    <cellStyle name="Comma 4 5 2 4 2 2" xfId="8014" xr:uid="{00000000-0005-0000-0000-0000320A0000}"/>
    <cellStyle name="Comma 4 5 2 4 2 2 2" xfId="16464" xr:uid="{CB4904BA-17D9-4566-8714-E9F0513D20DF}"/>
    <cellStyle name="Comma 4 5 2 4 2 3" xfId="12246" xr:uid="{7A357BF1-BB38-4A5B-B56A-245DE72772BA}"/>
    <cellStyle name="Comma 4 5 2 4 3" xfId="5869" xr:uid="{00000000-0005-0000-0000-0000330A0000}"/>
    <cellStyle name="Comma 4 5 2 4 3 2" xfId="14319" xr:uid="{DFFDBE01-0AFE-4E9D-B359-190206B000F3}"/>
    <cellStyle name="Comma 4 5 2 4 4" xfId="10101" xr:uid="{8214C800-C448-4FEB-98FB-71316C8A7E85}"/>
    <cellStyle name="Comma 4 5 2 5" xfId="1976" xr:uid="{00000000-0005-0000-0000-0000340A0000}"/>
    <cellStyle name="Comma 4 5 2 5 2" xfId="4205" xr:uid="{00000000-0005-0000-0000-0000350A0000}"/>
    <cellStyle name="Comma 4 5 2 5 2 2" xfId="8427" xr:uid="{00000000-0005-0000-0000-0000360A0000}"/>
    <cellStyle name="Comma 4 5 2 5 2 2 2" xfId="16877" xr:uid="{53954374-13F0-4D96-AE11-CB822AD6368C}"/>
    <cellStyle name="Comma 4 5 2 5 2 3" xfId="12659" xr:uid="{E8188BE8-CF21-4FD4-9CEF-5E685DF81244}"/>
    <cellStyle name="Comma 4 5 2 5 3" xfId="6282" xr:uid="{00000000-0005-0000-0000-0000370A0000}"/>
    <cellStyle name="Comma 4 5 2 5 3 2" xfId="14732" xr:uid="{B522A7C5-0585-4D28-AD98-3A9986EBA38C}"/>
    <cellStyle name="Comma 4 5 2 5 4" xfId="10514" xr:uid="{79BE7084-F0A5-4BB5-8D0A-46E0288258BA}"/>
    <cellStyle name="Comma 4 5 2 6" xfId="2411" xr:uid="{00000000-0005-0000-0000-0000380A0000}"/>
    <cellStyle name="Comma 4 5 2 6 2" xfId="6695" xr:uid="{00000000-0005-0000-0000-0000390A0000}"/>
    <cellStyle name="Comma 4 5 2 6 2 2" xfId="15145" xr:uid="{382D0DCD-29E2-4DAA-AF64-2C831E5B7751}"/>
    <cellStyle name="Comma 4 5 2 6 3" xfId="10927" xr:uid="{799B4C6E-5253-4677-857B-3EFE9DB72973}"/>
    <cellStyle name="Comma 4 5 2 7" xfId="2707" xr:uid="{00000000-0005-0000-0000-00003A0A0000}"/>
    <cellStyle name="Comma 4 5 2 8" xfId="2789" xr:uid="{00000000-0005-0000-0000-00003B0A0000}"/>
    <cellStyle name="Comma 4 5 2 8 2" xfId="7012" xr:uid="{00000000-0005-0000-0000-00003C0A0000}"/>
    <cellStyle name="Comma 4 5 2 8 2 2" xfId="15462" xr:uid="{1718B25D-1770-4DA8-ACE1-C730242BA09D}"/>
    <cellStyle name="Comma 4 5 2 8 3" xfId="11244" xr:uid="{014649E5-96BA-42A8-ADCF-5D161F109113}"/>
    <cellStyle name="Comma 4 5 2 9" xfId="4629" xr:uid="{00000000-0005-0000-0000-00003D0A0000}"/>
    <cellStyle name="Comma 4 5 2 9 2" xfId="13079" xr:uid="{1C8A445A-F7CE-4388-AF82-5B61219D2D3E}"/>
    <cellStyle name="Comma 4 5 3" xfId="694" xr:uid="{00000000-0005-0000-0000-00003E0A0000}"/>
    <cellStyle name="Comma 4 5 3 2" xfId="2965" xr:uid="{00000000-0005-0000-0000-00003F0A0000}"/>
    <cellStyle name="Comma 4 5 3 2 2" xfId="7187" xr:uid="{00000000-0005-0000-0000-0000400A0000}"/>
    <cellStyle name="Comma 4 5 3 2 2 2" xfId="15637" xr:uid="{82D7CE3C-283F-46B6-9717-485AFD8893FD}"/>
    <cellStyle name="Comma 4 5 3 2 3" xfId="11419" xr:uid="{AD30E4B6-F50A-4767-BAD8-794572E58FFC}"/>
    <cellStyle name="Comma 4 5 3 3" xfId="5042" xr:uid="{00000000-0005-0000-0000-0000410A0000}"/>
    <cellStyle name="Comma 4 5 3 3 2" xfId="13492" xr:uid="{785807CE-A466-494E-B72E-A412D7448A8F}"/>
    <cellStyle name="Comma 4 5 3 4" xfId="9274" xr:uid="{AE0B081D-E6F9-495D-A5F8-8FE701538712}"/>
    <cellStyle name="Comma 4 5 4" xfId="1147" xr:uid="{00000000-0005-0000-0000-0000420A0000}"/>
    <cellStyle name="Comma 4 5 4 2" xfId="3378" xr:uid="{00000000-0005-0000-0000-0000430A0000}"/>
    <cellStyle name="Comma 4 5 4 2 2" xfId="7600" xr:uid="{00000000-0005-0000-0000-0000440A0000}"/>
    <cellStyle name="Comma 4 5 4 2 2 2" xfId="16050" xr:uid="{E6CD3F29-CC2A-4D5C-8086-7AB37E393912}"/>
    <cellStyle name="Comma 4 5 4 2 3" xfId="11832" xr:uid="{A0D2BAD0-C259-4CDF-8A2D-0716AFE3283B}"/>
    <cellStyle name="Comma 4 5 4 3" xfId="5455" xr:uid="{00000000-0005-0000-0000-0000450A0000}"/>
    <cellStyle name="Comma 4 5 4 3 2" xfId="13905" xr:uid="{222444C1-3021-4675-8003-AE0014A4D177}"/>
    <cellStyle name="Comma 4 5 4 4" xfId="9687" xr:uid="{3DFAB5B6-2DAC-4B8C-B7D4-0AB246614C29}"/>
    <cellStyle name="Comma 4 5 5" xfId="1561" xr:uid="{00000000-0005-0000-0000-0000460A0000}"/>
    <cellStyle name="Comma 4 5 5 2" xfId="3791" xr:uid="{00000000-0005-0000-0000-0000470A0000}"/>
    <cellStyle name="Comma 4 5 5 2 2" xfId="8013" xr:uid="{00000000-0005-0000-0000-0000480A0000}"/>
    <cellStyle name="Comma 4 5 5 2 2 2" xfId="16463" xr:uid="{B80F7EAB-5C81-4920-8B3D-C8D005140F56}"/>
    <cellStyle name="Comma 4 5 5 2 3" xfId="12245" xr:uid="{E558A556-08AC-43E0-9215-0D44D77D3493}"/>
    <cellStyle name="Comma 4 5 5 3" xfId="5868" xr:uid="{00000000-0005-0000-0000-0000490A0000}"/>
    <cellStyle name="Comma 4 5 5 3 2" xfId="14318" xr:uid="{1ABD42BA-BF44-4D5E-A255-833E9B39D8FC}"/>
    <cellStyle name="Comma 4 5 5 4" xfId="10100" xr:uid="{D86F2E01-9A0E-43D5-998C-E9F59187187C}"/>
    <cellStyle name="Comma 4 5 6" xfId="1975" xr:uid="{00000000-0005-0000-0000-00004A0A0000}"/>
    <cellStyle name="Comma 4 5 6 2" xfId="4204" xr:uid="{00000000-0005-0000-0000-00004B0A0000}"/>
    <cellStyle name="Comma 4 5 6 2 2" xfId="8426" xr:uid="{00000000-0005-0000-0000-00004C0A0000}"/>
    <cellStyle name="Comma 4 5 6 2 2 2" xfId="16876" xr:uid="{1D972042-2E1F-4F34-AF32-A76667950F94}"/>
    <cellStyle name="Comma 4 5 6 2 3" xfId="12658" xr:uid="{A03B32C9-FDEE-41A4-A896-BD7BFF5F4FE9}"/>
    <cellStyle name="Comma 4 5 6 3" xfId="6281" xr:uid="{00000000-0005-0000-0000-00004D0A0000}"/>
    <cellStyle name="Comma 4 5 6 3 2" xfId="14731" xr:uid="{A0C4BA68-3CC8-4057-8D2A-9603489E6345}"/>
    <cellStyle name="Comma 4 5 6 4" xfId="10513" xr:uid="{D1F6B2D8-54D9-4428-8D62-06D15FB7541C}"/>
    <cellStyle name="Comma 4 5 7" xfId="2410" xr:uid="{00000000-0005-0000-0000-00004E0A0000}"/>
    <cellStyle name="Comma 4 5 7 2" xfId="6694" xr:uid="{00000000-0005-0000-0000-00004F0A0000}"/>
    <cellStyle name="Comma 4 5 7 2 2" xfId="15144" xr:uid="{6FA275BB-D395-4150-AF24-BA67083EDF95}"/>
    <cellStyle name="Comma 4 5 7 3" xfId="10926" xr:uid="{F39C6F9E-B1F0-4F07-9638-740085ED93FD}"/>
    <cellStyle name="Comma 4 5 8" xfId="2706" xr:uid="{00000000-0005-0000-0000-0000500A0000}"/>
    <cellStyle name="Comma 4 5 9" xfId="2788" xr:uid="{00000000-0005-0000-0000-0000510A0000}"/>
    <cellStyle name="Comma 4 5 9 2" xfId="7011" xr:uid="{00000000-0005-0000-0000-0000520A0000}"/>
    <cellStyle name="Comma 4 5 9 2 2" xfId="15461" xr:uid="{52F2E6B1-28AA-4BC3-A451-81C493187A1E}"/>
    <cellStyle name="Comma 4 5 9 3" xfId="11243" xr:uid="{5D00A2CE-39B2-4F1A-8612-6FA96F7520DC}"/>
    <cellStyle name="Comma 4 6" xfId="159" xr:uid="{00000000-0005-0000-0000-0000530A0000}"/>
    <cellStyle name="Comma 4 6 10" xfId="8862" xr:uid="{A47B2BFC-4C4A-4BC1-8202-593E96C3B8C7}"/>
    <cellStyle name="Comma 4 6 2" xfId="696" xr:uid="{00000000-0005-0000-0000-0000540A0000}"/>
    <cellStyle name="Comma 4 6 2 2" xfId="2967" xr:uid="{00000000-0005-0000-0000-0000550A0000}"/>
    <cellStyle name="Comma 4 6 2 2 2" xfId="7189" xr:uid="{00000000-0005-0000-0000-0000560A0000}"/>
    <cellStyle name="Comma 4 6 2 2 2 2" xfId="15639" xr:uid="{52DF13BC-6FF4-4B65-986A-CD4C2BDF45CA}"/>
    <cellStyle name="Comma 4 6 2 2 3" xfId="11421" xr:uid="{11951367-5490-4A76-B903-9296E353896D}"/>
    <cellStyle name="Comma 4 6 2 3" xfId="5044" xr:uid="{00000000-0005-0000-0000-0000570A0000}"/>
    <cellStyle name="Comma 4 6 2 3 2" xfId="13494" xr:uid="{A8BB9B90-2904-4681-9740-3F9BE8B75AD3}"/>
    <cellStyle name="Comma 4 6 2 4" xfId="9276" xr:uid="{EB50034B-75A4-470E-9573-CCAC8A15A2AB}"/>
    <cellStyle name="Comma 4 6 3" xfId="1149" xr:uid="{00000000-0005-0000-0000-0000580A0000}"/>
    <cellStyle name="Comma 4 6 3 2" xfId="3380" xr:uid="{00000000-0005-0000-0000-0000590A0000}"/>
    <cellStyle name="Comma 4 6 3 2 2" xfId="7602" xr:uid="{00000000-0005-0000-0000-00005A0A0000}"/>
    <cellStyle name="Comma 4 6 3 2 2 2" xfId="16052" xr:uid="{DEE9F9A7-9B54-4E40-94D8-C02F5F71CE85}"/>
    <cellStyle name="Comma 4 6 3 2 3" xfId="11834" xr:uid="{769660F7-AC14-4813-963F-F700EA1B76CA}"/>
    <cellStyle name="Comma 4 6 3 3" xfId="5457" xr:uid="{00000000-0005-0000-0000-00005B0A0000}"/>
    <cellStyle name="Comma 4 6 3 3 2" xfId="13907" xr:uid="{67BDDF15-6ECD-468D-8A93-EA9DE11D4FBA}"/>
    <cellStyle name="Comma 4 6 3 4" xfId="9689" xr:uid="{4F1FA262-85D0-448D-978B-3CF23008704B}"/>
    <cellStyle name="Comma 4 6 4" xfId="1563" xr:uid="{00000000-0005-0000-0000-00005C0A0000}"/>
    <cellStyle name="Comma 4 6 4 2" xfId="3793" xr:uid="{00000000-0005-0000-0000-00005D0A0000}"/>
    <cellStyle name="Comma 4 6 4 2 2" xfId="8015" xr:uid="{00000000-0005-0000-0000-00005E0A0000}"/>
    <cellStyle name="Comma 4 6 4 2 2 2" xfId="16465" xr:uid="{87C0A5F9-485A-4E1B-A5EC-C5130C0A6156}"/>
    <cellStyle name="Comma 4 6 4 2 3" xfId="12247" xr:uid="{B6D64D21-D067-4637-A457-C425146E3EB5}"/>
    <cellStyle name="Comma 4 6 4 3" xfId="5870" xr:uid="{00000000-0005-0000-0000-00005F0A0000}"/>
    <cellStyle name="Comma 4 6 4 3 2" xfId="14320" xr:uid="{247CD640-5F33-4A9D-BB05-AE6BF3D12FAE}"/>
    <cellStyle name="Comma 4 6 4 4" xfId="10102" xr:uid="{065CB7AC-0CD2-4703-87AB-1580088DBCE8}"/>
    <cellStyle name="Comma 4 6 5" xfId="1977" xr:uid="{00000000-0005-0000-0000-0000600A0000}"/>
    <cellStyle name="Comma 4 6 5 2" xfId="4206" xr:uid="{00000000-0005-0000-0000-0000610A0000}"/>
    <cellStyle name="Comma 4 6 5 2 2" xfId="8428" xr:uid="{00000000-0005-0000-0000-0000620A0000}"/>
    <cellStyle name="Comma 4 6 5 2 2 2" xfId="16878" xr:uid="{877C7F63-0D24-4438-824B-4581EE6D84A0}"/>
    <cellStyle name="Comma 4 6 5 2 3" xfId="12660" xr:uid="{3C776E3A-B9F4-4BF1-8F60-AA316A4EEC9B}"/>
    <cellStyle name="Comma 4 6 5 3" xfId="6283" xr:uid="{00000000-0005-0000-0000-0000630A0000}"/>
    <cellStyle name="Comma 4 6 5 3 2" xfId="14733" xr:uid="{E56A7803-5431-4707-A183-542BC1093CC6}"/>
    <cellStyle name="Comma 4 6 5 4" xfId="10515" xr:uid="{970A8ADE-F8B5-447C-BD01-F071E85107F9}"/>
    <cellStyle name="Comma 4 6 6" xfId="2412" xr:uid="{00000000-0005-0000-0000-0000640A0000}"/>
    <cellStyle name="Comma 4 6 6 2" xfId="6696" xr:uid="{00000000-0005-0000-0000-0000650A0000}"/>
    <cellStyle name="Comma 4 6 6 2 2" xfId="15146" xr:uid="{951BB3FC-0753-4085-AF54-06C646619129}"/>
    <cellStyle name="Comma 4 6 6 3" xfId="10928" xr:uid="{CD04E946-4BDB-4446-881C-021870F196A9}"/>
    <cellStyle name="Comma 4 6 7" xfId="2708" xr:uid="{00000000-0005-0000-0000-0000660A0000}"/>
    <cellStyle name="Comma 4 6 8" xfId="2790" xr:uid="{00000000-0005-0000-0000-0000670A0000}"/>
    <cellStyle name="Comma 4 6 8 2" xfId="7013" xr:uid="{00000000-0005-0000-0000-0000680A0000}"/>
    <cellStyle name="Comma 4 6 8 2 2" xfId="15463" xr:uid="{36C2F709-42B1-43BE-B645-52814CFFB5F6}"/>
    <cellStyle name="Comma 4 6 8 3" xfId="11245" xr:uid="{F4A11FD2-5383-449A-B8E3-BF4D42E9902D}"/>
    <cellStyle name="Comma 4 6 9" xfId="4630" xr:uid="{00000000-0005-0000-0000-0000690A0000}"/>
    <cellStyle name="Comma 4 6 9 2" xfId="13080" xr:uid="{AF425A26-9A25-4D03-9B7E-55FE8088C528}"/>
    <cellStyle name="Comma 4 7" xfId="160" xr:uid="{00000000-0005-0000-0000-00006A0A0000}"/>
    <cellStyle name="Comma 4 7 10" xfId="8863" xr:uid="{2AA7B41F-B85B-4227-BB00-1E4121660369}"/>
    <cellStyle name="Comma 4 7 2" xfId="697" xr:uid="{00000000-0005-0000-0000-00006B0A0000}"/>
    <cellStyle name="Comma 4 7 2 2" xfId="2968" xr:uid="{00000000-0005-0000-0000-00006C0A0000}"/>
    <cellStyle name="Comma 4 7 2 2 2" xfId="7190" xr:uid="{00000000-0005-0000-0000-00006D0A0000}"/>
    <cellStyle name="Comma 4 7 2 2 2 2" xfId="15640" xr:uid="{843936DD-A7D9-4DA7-83BB-7768ECE3B3B2}"/>
    <cellStyle name="Comma 4 7 2 2 3" xfId="11422" xr:uid="{CF51726C-1969-4F32-964D-813F3143BC02}"/>
    <cellStyle name="Comma 4 7 2 3" xfId="5045" xr:uid="{00000000-0005-0000-0000-00006E0A0000}"/>
    <cellStyle name="Comma 4 7 2 3 2" xfId="13495" xr:uid="{A856540F-668D-4413-99D6-355E5F78DA54}"/>
    <cellStyle name="Comma 4 7 2 4" xfId="9277" xr:uid="{65964535-6F50-4A2C-9514-02DF97E86250}"/>
    <cellStyle name="Comma 4 7 3" xfId="1150" xr:uid="{00000000-0005-0000-0000-00006F0A0000}"/>
    <cellStyle name="Comma 4 7 3 2" xfId="3381" xr:uid="{00000000-0005-0000-0000-0000700A0000}"/>
    <cellStyle name="Comma 4 7 3 2 2" xfId="7603" xr:uid="{00000000-0005-0000-0000-0000710A0000}"/>
    <cellStyle name="Comma 4 7 3 2 2 2" xfId="16053" xr:uid="{CB9A8AFC-6971-4A7F-AC75-36A98855D0E4}"/>
    <cellStyle name="Comma 4 7 3 2 3" xfId="11835" xr:uid="{BFA7B5E3-EC02-43D0-8812-38B78A0F2991}"/>
    <cellStyle name="Comma 4 7 3 3" xfId="5458" xr:uid="{00000000-0005-0000-0000-0000720A0000}"/>
    <cellStyle name="Comma 4 7 3 3 2" xfId="13908" xr:uid="{B11C0C67-6D6B-4CAC-8E85-C3717338BA67}"/>
    <cellStyle name="Comma 4 7 3 4" xfId="9690" xr:uid="{BED16313-DBF5-4D83-85FD-93D42656E7F7}"/>
    <cellStyle name="Comma 4 7 4" xfId="1564" xr:uid="{00000000-0005-0000-0000-0000730A0000}"/>
    <cellStyle name="Comma 4 7 4 2" xfId="3794" xr:uid="{00000000-0005-0000-0000-0000740A0000}"/>
    <cellStyle name="Comma 4 7 4 2 2" xfId="8016" xr:uid="{00000000-0005-0000-0000-0000750A0000}"/>
    <cellStyle name="Comma 4 7 4 2 2 2" xfId="16466" xr:uid="{2F6BA038-B7FD-4F3A-B80D-EE7A3FD33E56}"/>
    <cellStyle name="Comma 4 7 4 2 3" xfId="12248" xr:uid="{698E1B67-2EE6-4470-9FE5-ABEEFF684D10}"/>
    <cellStyle name="Comma 4 7 4 3" xfId="5871" xr:uid="{00000000-0005-0000-0000-0000760A0000}"/>
    <cellStyle name="Comma 4 7 4 3 2" xfId="14321" xr:uid="{163DD6FF-802F-453D-A529-4B3D6EE0452D}"/>
    <cellStyle name="Comma 4 7 4 4" xfId="10103" xr:uid="{522A1FB0-FE23-4F07-BF51-A1D672FF9B25}"/>
    <cellStyle name="Comma 4 7 5" xfId="1978" xr:uid="{00000000-0005-0000-0000-0000770A0000}"/>
    <cellStyle name="Comma 4 7 5 2" xfId="4207" xr:uid="{00000000-0005-0000-0000-0000780A0000}"/>
    <cellStyle name="Comma 4 7 5 2 2" xfId="8429" xr:uid="{00000000-0005-0000-0000-0000790A0000}"/>
    <cellStyle name="Comma 4 7 5 2 2 2" xfId="16879" xr:uid="{534C672F-646C-4966-B316-ACECFDD251DF}"/>
    <cellStyle name="Comma 4 7 5 2 3" xfId="12661" xr:uid="{A5AD1AD4-88E7-43E8-8993-A922BBAF9AD6}"/>
    <cellStyle name="Comma 4 7 5 3" xfId="6284" xr:uid="{00000000-0005-0000-0000-00007A0A0000}"/>
    <cellStyle name="Comma 4 7 5 3 2" xfId="14734" xr:uid="{29D71E95-7BA5-4FA3-BA09-5D22378A807A}"/>
    <cellStyle name="Comma 4 7 5 4" xfId="10516" xr:uid="{5ADA3F07-418F-44CB-A1FE-7373A1E2911C}"/>
    <cellStyle name="Comma 4 7 6" xfId="2413" xr:uid="{00000000-0005-0000-0000-00007B0A0000}"/>
    <cellStyle name="Comma 4 7 6 2" xfId="6697" xr:uid="{00000000-0005-0000-0000-00007C0A0000}"/>
    <cellStyle name="Comma 4 7 6 2 2" xfId="15147" xr:uid="{0D497992-5996-401D-8AE8-A200F0929F4F}"/>
    <cellStyle name="Comma 4 7 6 3" xfId="10929" xr:uid="{D2309046-60B6-4DBF-8CFE-C3C4B9CD9BCF}"/>
    <cellStyle name="Comma 4 7 7" xfId="2709" xr:uid="{00000000-0005-0000-0000-00007D0A0000}"/>
    <cellStyle name="Comma 4 7 8" xfId="2791" xr:uid="{00000000-0005-0000-0000-00007E0A0000}"/>
    <cellStyle name="Comma 4 7 8 2" xfId="7014" xr:uid="{00000000-0005-0000-0000-00007F0A0000}"/>
    <cellStyle name="Comma 4 7 8 2 2" xfId="15464" xr:uid="{81F8455F-5760-44E1-9DF4-3F5C4039F8D0}"/>
    <cellStyle name="Comma 4 7 8 3" xfId="11246" xr:uid="{EF908354-2E2D-4013-AAF1-4FEFF706A2FD}"/>
    <cellStyle name="Comma 4 7 9" xfId="4631" xr:uid="{00000000-0005-0000-0000-0000800A0000}"/>
    <cellStyle name="Comma 4 7 9 2" xfId="13081" xr:uid="{605BD77F-7C4D-4475-9988-B4485D2B1B71}"/>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9" xr:uid="{54B4AACA-7AC4-4A1D-BC21-35023CB3B329}"/>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2 2" xfId="17166" xr:uid="{8A0EBE26-8CBB-417C-966D-43AE8456BDCB}"/>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14 3 2 2 3" xfId="17175" xr:uid="{4057A059-88B7-41CA-9247-5A238AD08086}"/>
    <cellStyle name="Currency 14 3 2 3" xfId="17172" xr:uid="{77B9AC70-6844-43AB-91E4-B60337582622}"/>
    <cellStyle name="Currency 14 3 3" xfId="17169" xr:uid="{861153F8-DE96-4691-B151-DEAD1F96CAC7}"/>
    <cellStyle name="Currency 14 4" xfId="12952" xr:uid="{072A834F-C3C3-4C86-A44B-842D06C19B8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0 2 2" xfId="15465" xr:uid="{35FE0071-BF43-45D5-9A41-4168DFFA3C95}"/>
    <cellStyle name="Currency 3 2 2 10 3" xfId="11247" xr:uid="{BC65802B-1FA4-40C9-A90B-4AEA9F52B5B6}"/>
    <cellStyle name="Currency 3 2 2 11" xfId="4632" xr:uid="{00000000-0005-0000-0000-0000A50A0000}"/>
    <cellStyle name="Currency 3 2 2 11 2" xfId="13082" xr:uid="{ABEA50DC-C7DE-4268-9AF4-CD05ECE7F961}"/>
    <cellStyle name="Currency 3 2 2 12" xfId="8864" xr:uid="{0A1B07A3-099F-4F3A-81B9-D039097E2372}"/>
    <cellStyle name="Currency 3 2 2 2" xfId="179" xr:uid="{00000000-0005-0000-0000-0000A60A0000}"/>
    <cellStyle name="Currency 3 2 2 2 10" xfId="4633" xr:uid="{00000000-0005-0000-0000-0000A70A0000}"/>
    <cellStyle name="Currency 3 2 2 2 10 2" xfId="13083" xr:uid="{838B56C1-F40E-42BA-8289-939CB3EA296E}"/>
    <cellStyle name="Currency 3 2 2 2 11" xfId="8865" xr:uid="{D8DB1FCC-F381-4C84-9F27-7A452352FD1F}"/>
    <cellStyle name="Currency 3 2 2 2 2" xfId="180" xr:uid="{00000000-0005-0000-0000-0000A80A0000}"/>
    <cellStyle name="Currency 3 2 2 2 2 10" xfId="8866" xr:uid="{A6E662BA-A4EA-45D4-9EEE-D665DF9C7F93}"/>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2 2 2" xfId="15643" xr:uid="{5B4E889D-EE7C-481A-83A9-B306FAE188D2}"/>
    <cellStyle name="Currency 3 2 2 2 2 2 2 3" xfId="11425" xr:uid="{CE0E95BD-60E0-409C-8F5C-244965041FA1}"/>
    <cellStyle name="Currency 3 2 2 2 2 2 3" xfId="5048" xr:uid="{00000000-0005-0000-0000-0000AC0A0000}"/>
    <cellStyle name="Currency 3 2 2 2 2 2 3 2" xfId="13498" xr:uid="{54626E1E-3647-4644-9532-9174468A40C1}"/>
    <cellStyle name="Currency 3 2 2 2 2 2 4" xfId="9280" xr:uid="{B94D2957-E23E-42AA-B80F-52A0833CC1CC}"/>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2 2 2" xfId="16056" xr:uid="{2BC0B3A3-D443-484F-9E1A-B16DD2F1E8EB}"/>
    <cellStyle name="Currency 3 2 2 2 2 3 2 3" xfId="11838" xr:uid="{66B49864-A0EA-4F5B-A149-50547F4F94CF}"/>
    <cellStyle name="Currency 3 2 2 2 2 3 3" xfId="5461" xr:uid="{00000000-0005-0000-0000-0000B00A0000}"/>
    <cellStyle name="Currency 3 2 2 2 2 3 3 2" xfId="13911" xr:uid="{9759A4FF-F608-44B6-A2D2-B911AA7B103D}"/>
    <cellStyle name="Currency 3 2 2 2 2 3 4" xfId="9693" xr:uid="{B48DE6B4-8BE2-4958-A569-CB7F56813E93}"/>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2 2 2" xfId="16469" xr:uid="{3D02CBAC-BFFF-4324-8CCD-E02AAD4D7EDA}"/>
    <cellStyle name="Currency 3 2 2 2 2 4 2 3" xfId="12251" xr:uid="{60FBAC2D-17D1-44C7-B6B6-0EEB31A7017F}"/>
    <cellStyle name="Currency 3 2 2 2 2 4 3" xfId="5874" xr:uid="{00000000-0005-0000-0000-0000B40A0000}"/>
    <cellStyle name="Currency 3 2 2 2 2 4 3 2" xfId="14324" xr:uid="{7C5FE0FA-BDCA-4DC9-A654-070B69E11782}"/>
    <cellStyle name="Currency 3 2 2 2 2 4 4" xfId="10106" xr:uid="{1AB4BDD8-B4C6-458F-B36A-D4134B46D41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2 2 2" xfId="16882" xr:uid="{B777002C-41C5-40EA-917E-660D1DAF903A}"/>
    <cellStyle name="Currency 3 2 2 2 2 5 2 3" xfId="12664" xr:uid="{1C6D4374-582E-483A-B8E2-FAD7488F14AB}"/>
    <cellStyle name="Currency 3 2 2 2 2 5 3" xfId="6287" xr:uid="{00000000-0005-0000-0000-0000B80A0000}"/>
    <cellStyle name="Currency 3 2 2 2 2 5 3 2" xfId="14737" xr:uid="{9B68C39A-70E4-4E20-8113-E2B0CBF6778E}"/>
    <cellStyle name="Currency 3 2 2 2 2 5 4" xfId="10519" xr:uid="{9B0B29A1-36A1-40CD-AF48-56262320E919}"/>
    <cellStyle name="Currency 3 2 2 2 2 6" xfId="2416" xr:uid="{00000000-0005-0000-0000-0000B90A0000}"/>
    <cellStyle name="Currency 3 2 2 2 2 6 2" xfId="6700" xr:uid="{00000000-0005-0000-0000-0000BA0A0000}"/>
    <cellStyle name="Currency 3 2 2 2 2 6 2 2" xfId="15150" xr:uid="{384053E6-0E5F-4686-AE8F-E3106538D786}"/>
    <cellStyle name="Currency 3 2 2 2 2 6 3" xfId="10932" xr:uid="{8FDEC17A-F900-4FF8-A809-B08012E18E7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8 2 2" xfId="15467" xr:uid="{0E49AFF3-01ED-40AC-A734-98AD871485DE}"/>
    <cellStyle name="Currency 3 2 2 2 2 8 3" xfId="11249" xr:uid="{02A43768-A798-4E54-9A79-255E655DFF30}"/>
    <cellStyle name="Currency 3 2 2 2 2 9" xfId="4634" xr:uid="{00000000-0005-0000-0000-0000BE0A0000}"/>
    <cellStyle name="Currency 3 2 2 2 2 9 2" xfId="13084" xr:uid="{75FEC88E-A039-4E6A-AAD5-4CE597F29B4C}"/>
    <cellStyle name="Currency 3 2 2 2 3" xfId="709" xr:uid="{00000000-0005-0000-0000-0000BF0A0000}"/>
    <cellStyle name="Currency 3 2 2 2 3 2" xfId="2970" xr:uid="{00000000-0005-0000-0000-0000C00A0000}"/>
    <cellStyle name="Currency 3 2 2 2 3 2 2" xfId="7192" xr:uid="{00000000-0005-0000-0000-0000C10A0000}"/>
    <cellStyle name="Currency 3 2 2 2 3 2 2 2" xfId="15642" xr:uid="{E9C45337-52A2-4F04-A2DE-81499EF11D9C}"/>
    <cellStyle name="Currency 3 2 2 2 3 2 3" xfId="11424" xr:uid="{70ED56BF-9640-431F-8A82-E2EAC9E95240}"/>
    <cellStyle name="Currency 3 2 2 2 3 3" xfId="5047" xr:uid="{00000000-0005-0000-0000-0000C20A0000}"/>
    <cellStyle name="Currency 3 2 2 2 3 3 2" xfId="13497" xr:uid="{5FB9102A-0916-4000-A56A-A841CD905F11}"/>
    <cellStyle name="Currency 3 2 2 2 3 4" xfId="9279" xr:uid="{88DB2387-AFB7-4D76-B517-29B866672032}"/>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2 2 2" xfId="16055" xr:uid="{6E0D7900-BD80-44D9-8ABF-182886C6F5EB}"/>
    <cellStyle name="Currency 3 2 2 2 4 2 3" xfId="11837" xr:uid="{89EC578F-1FF9-45B8-844C-D92A26773B94}"/>
    <cellStyle name="Currency 3 2 2 2 4 3" xfId="5460" xr:uid="{00000000-0005-0000-0000-0000C60A0000}"/>
    <cellStyle name="Currency 3 2 2 2 4 3 2" xfId="13910" xr:uid="{BF25D381-E73C-4E79-A85A-BF3D8D8F9128}"/>
    <cellStyle name="Currency 3 2 2 2 4 4" xfId="9692" xr:uid="{30466F2C-4F0A-457C-AF5A-DF54769DA03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2 2 2" xfId="16468" xr:uid="{416E4543-4495-4AD5-97FC-FC5C4D55EBD0}"/>
    <cellStyle name="Currency 3 2 2 2 5 2 3" xfId="12250" xr:uid="{C68A621D-DD7F-493C-AC50-6D41E702E8A4}"/>
    <cellStyle name="Currency 3 2 2 2 5 3" xfId="5873" xr:uid="{00000000-0005-0000-0000-0000CA0A0000}"/>
    <cellStyle name="Currency 3 2 2 2 5 3 2" xfId="14323" xr:uid="{671FBB9F-4F79-4E12-8173-7D1D3D416054}"/>
    <cellStyle name="Currency 3 2 2 2 5 4" xfId="10105" xr:uid="{7E9E639C-7560-4262-A0A5-B9F5649984C9}"/>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2 2 2" xfId="16881" xr:uid="{61CF68DE-E330-4961-ABEE-2FB64CE8CF10}"/>
    <cellStyle name="Currency 3 2 2 2 6 2 3" xfId="12663" xr:uid="{87A5685C-6ED4-4E44-89FE-430F5E4E87D8}"/>
    <cellStyle name="Currency 3 2 2 2 6 3" xfId="6286" xr:uid="{00000000-0005-0000-0000-0000CE0A0000}"/>
    <cellStyle name="Currency 3 2 2 2 6 3 2" xfId="14736" xr:uid="{9BB18243-10E0-4FF5-BA99-8B408364D740}"/>
    <cellStyle name="Currency 3 2 2 2 6 4" xfId="10518" xr:uid="{9FE7948E-4E9E-435C-BE30-92D1A4570B20}"/>
    <cellStyle name="Currency 3 2 2 2 7" xfId="2415" xr:uid="{00000000-0005-0000-0000-0000CF0A0000}"/>
    <cellStyle name="Currency 3 2 2 2 7 2" xfId="6699" xr:uid="{00000000-0005-0000-0000-0000D00A0000}"/>
    <cellStyle name="Currency 3 2 2 2 7 2 2" xfId="15149" xr:uid="{0D4CEE5C-389E-4561-9EAE-7CA5D8DD06E5}"/>
    <cellStyle name="Currency 3 2 2 2 7 3" xfId="10931" xr:uid="{E1CDE3B8-EE80-42D0-8CA7-5D72E3CA1E1D}"/>
    <cellStyle name="Currency 3 2 2 2 8" xfId="2712" xr:uid="{00000000-0005-0000-0000-0000D10A0000}"/>
    <cellStyle name="Currency 3 2 2 2 9" xfId="2793" xr:uid="{00000000-0005-0000-0000-0000D20A0000}"/>
    <cellStyle name="Currency 3 2 2 2 9 2" xfId="7016" xr:uid="{00000000-0005-0000-0000-0000D30A0000}"/>
    <cellStyle name="Currency 3 2 2 2 9 2 2" xfId="15466" xr:uid="{2DCB9822-B937-48ED-BF62-2A9E0A6EFC52}"/>
    <cellStyle name="Currency 3 2 2 2 9 3" xfId="11248" xr:uid="{DD5182BA-6525-472D-AFD0-B76D3889EBF1}"/>
    <cellStyle name="Currency 3 2 2 3" xfId="181" xr:uid="{00000000-0005-0000-0000-0000D40A0000}"/>
    <cellStyle name="Currency 3 2 2 3 10" xfId="8867" xr:uid="{1793DF06-5E0A-4E58-B5C3-039DCA6E3F25}"/>
    <cellStyle name="Currency 3 2 2 3 2" xfId="711" xr:uid="{00000000-0005-0000-0000-0000D50A0000}"/>
    <cellStyle name="Currency 3 2 2 3 2 2" xfId="2972" xr:uid="{00000000-0005-0000-0000-0000D60A0000}"/>
    <cellStyle name="Currency 3 2 2 3 2 2 2" xfId="7194" xr:uid="{00000000-0005-0000-0000-0000D70A0000}"/>
    <cellStyle name="Currency 3 2 2 3 2 2 2 2" xfId="15644" xr:uid="{93DB0514-F652-4DF1-8D9C-788C587346EB}"/>
    <cellStyle name="Currency 3 2 2 3 2 2 3" xfId="11426" xr:uid="{F3D7363A-D60F-448B-A8B6-6B46A23F5D07}"/>
    <cellStyle name="Currency 3 2 2 3 2 3" xfId="5049" xr:uid="{00000000-0005-0000-0000-0000D80A0000}"/>
    <cellStyle name="Currency 3 2 2 3 2 3 2" xfId="13499" xr:uid="{A0193E98-9841-467A-8072-7E6B3A6FB572}"/>
    <cellStyle name="Currency 3 2 2 3 2 4" xfId="9281" xr:uid="{55EEC763-1A86-4025-8653-AE54F2DA88DB}"/>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2 2 2" xfId="16057" xr:uid="{D16D9717-9D1B-4E77-85FC-FFB08BFD5AF5}"/>
    <cellStyle name="Currency 3 2 2 3 3 2 3" xfId="11839" xr:uid="{BC8E0E88-B72F-4362-915C-FD3336A95927}"/>
    <cellStyle name="Currency 3 2 2 3 3 3" xfId="5462" xr:uid="{00000000-0005-0000-0000-0000DC0A0000}"/>
    <cellStyle name="Currency 3 2 2 3 3 3 2" xfId="13912" xr:uid="{2DA07E18-4F50-4F3F-A2E0-CBF8F2BD82EE}"/>
    <cellStyle name="Currency 3 2 2 3 3 4" xfId="9694" xr:uid="{D4A92333-0360-421F-9946-0F65865E71C1}"/>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2 2 2" xfId="16470" xr:uid="{E0D6EA85-EEFE-4AC1-861B-6252DF638599}"/>
    <cellStyle name="Currency 3 2 2 3 4 2 3" xfId="12252" xr:uid="{6F190FDE-FF7B-40D5-93EF-9A8F9EC807F6}"/>
    <cellStyle name="Currency 3 2 2 3 4 3" xfId="5875" xr:uid="{00000000-0005-0000-0000-0000E00A0000}"/>
    <cellStyle name="Currency 3 2 2 3 4 3 2" xfId="14325" xr:uid="{D08FEA33-0501-457D-A120-78D459B83379}"/>
    <cellStyle name="Currency 3 2 2 3 4 4" xfId="10107" xr:uid="{77C2CF13-7DC4-4D65-9516-C74373B010B7}"/>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2 2 2" xfId="16883" xr:uid="{2A6AB0B9-CF1B-46D2-B633-7D9C335768FA}"/>
    <cellStyle name="Currency 3 2 2 3 5 2 3" xfId="12665" xr:uid="{FCFD128E-B200-4FD3-A809-1931D9E014BA}"/>
    <cellStyle name="Currency 3 2 2 3 5 3" xfId="6288" xr:uid="{00000000-0005-0000-0000-0000E40A0000}"/>
    <cellStyle name="Currency 3 2 2 3 5 3 2" xfId="14738" xr:uid="{69A7F412-00E9-4BE0-B63C-E52FDD4545F4}"/>
    <cellStyle name="Currency 3 2 2 3 5 4" xfId="10520" xr:uid="{BF050E9F-E6FB-45EE-8BAE-AD0B49C863B2}"/>
    <cellStyle name="Currency 3 2 2 3 6" xfId="2417" xr:uid="{00000000-0005-0000-0000-0000E50A0000}"/>
    <cellStyle name="Currency 3 2 2 3 6 2" xfId="6701" xr:uid="{00000000-0005-0000-0000-0000E60A0000}"/>
    <cellStyle name="Currency 3 2 2 3 6 2 2" xfId="15151" xr:uid="{068BE686-897C-4A51-B0C8-FFB50727B5E2}"/>
    <cellStyle name="Currency 3 2 2 3 6 3" xfId="10933" xr:uid="{9D24C990-0568-4226-8FD7-95C20D5B4629}"/>
    <cellStyle name="Currency 3 2 2 3 7" xfId="2714" xr:uid="{00000000-0005-0000-0000-0000E70A0000}"/>
    <cellStyle name="Currency 3 2 2 3 8" xfId="2795" xr:uid="{00000000-0005-0000-0000-0000E80A0000}"/>
    <cellStyle name="Currency 3 2 2 3 8 2" xfId="7018" xr:uid="{00000000-0005-0000-0000-0000E90A0000}"/>
    <cellStyle name="Currency 3 2 2 3 8 2 2" xfId="15468" xr:uid="{2886A285-A173-4FAC-B982-EE09C330E8BE}"/>
    <cellStyle name="Currency 3 2 2 3 8 3" xfId="11250" xr:uid="{40978B51-56D5-41C8-9954-B3170E4B7338}"/>
    <cellStyle name="Currency 3 2 2 3 9" xfId="4635" xr:uid="{00000000-0005-0000-0000-0000EA0A0000}"/>
    <cellStyle name="Currency 3 2 2 3 9 2" xfId="13085" xr:uid="{56A7AB07-A5ED-4A0A-9719-B6F03567600C}"/>
    <cellStyle name="Currency 3 2 2 4" xfId="708" xr:uid="{00000000-0005-0000-0000-0000EB0A0000}"/>
    <cellStyle name="Currency 3 2 2 4 2" xfId="2969" xr:uid="{00000000-0005-0000-0000-0000EC0A0000}"/>
    <cellStyle name="Currency 3 2 2 4 2 2" xfId="7191" xr:uid="{00000000-0005-0000-0000-0000ED0A0000}"/>
    <cellStyle name="Currency 3 2 2 4 2 2 2" xfId="15641" xr:uid="{382783E9-5927-4DA1-B41E-DE4A78ACEB0D}"/>
    <cellStyle name="Currency 3 2 2 4 2 3" xfId="11423" xr:uid="{D649125F-522A-47A0-8567-EB9071A3BAD4}"/>
    <cellStyle name="Currency 3 2 2 4 3" xfId="5046" xr:uid="{00000000-0005-0000-0000-0000EE0A0000}"/>
    <cellStyle name="Currency 3 2 2 4 3 2" xfId="13496" xr:uid="{2C297D0D-A4CF-42B3-9B85-E3577EF6FD6D}"/>
    <cellStyle name="Currency 3 2 2 4 4" xfId="9278" xr:uid="{BC93320B-8DDB-4614-9CCE-F5F7181F876A}"/>
    <cellStyle name="Currency 3 2 2 5" xfId="1151" xr:uid="{00000000-0005-0000-0000-0000EF0A0000}"/>
    <cellStyle name="Currency 3 2 2 5 2" xfId="3382" xr:uid="{00000000-0005-0000-0000-0000F00A0000}"/>
    <cellStyle name="Currency 3 2 2 5 2 2" xfId="7604" xr:uid="{00000000-0005-0000-0000-0000F10A0000}"/>
    <cellStyle name="Currency 3 2 2 5 2 2 2" xfId="16054" xr:uid="{C70027D0-E4AF-4EF8-A67D-7D6FBAF4F60A}"/>
    <cellStyle name="Currency 3 2 2 5 2 3" xfId="11836" xr:uid="{AC94C5B4-A42F-4540-AC2A-E3AAE62327F1}"/>
    <cellStyle name="Currency 3 2 2 5 3" xfId="5459" xr:uid="{00000000-0005-0000-0000-0000F20A0000}"/>
    <cellStyle name="Currency 3 2 2 5 3 2" xfId="13909" xr:uid="{55B99EA3-A87C-4CF4-A8E2-E0E21A692EB8}"/>
    <cellStyle name="Currency 3 2 2 5 4" xfId="9691" xr:uid="{B1B7FBFB-FF3D-4605-A672-FB4C947EF622}"/>
    <cellStyle name="Currency 3 2 2 6" xfId="1565" xr:uid="{00000000-0005-0000-0000-0000F30A0000}"/>
    <cellStyle name="Currency 3 2 2 6 2" xfId="3795" xr:uid="{00000000-0005-0000-0000-0000F40A0000}"/>
    <cellStyle name="Currency 3 2 2 6 2 2" xfId="8017" xr:uid="{00000000-0005-0000-0000-0000F50A0000}"/>
    <cellStyle name="Currency 3 2 2 6 2 2 2" xfId="16467" xr:uid="{BECD8013-DDA0-407E-A560-41C454D56CC1}"/>
    <cellStyle name="Currency 3 2 2 6 2 3" xfId="12249" xr:uid="{4C6A5F02-EF9B-4090-A6B1-514639C08832}"/>
    <cellStyle name="Currency 3 2 2 6 3" xfId="5872" xr:uid="{00000000-0005-0000-0000-0000F60A0000}"/>
    <cellStyle name="Currency 3 2 2 6 3 2" xfId="14322" xr:uid="{3B8945FD-7E99-44D7-B268-C0697429D223}"/>
    <cellStyle name="Currency 3 2 2 6 4" xfId="10104" xr:uid="{F0E15E14-B7D0-4491-B272-110123284772}"/>
    <cellStyle name="Currency 3 2 2 7" xfId="1979" xr:uid="{00000000-0005-0000-0000-0000F70A0000}"/>
    <cellStyle name="Currency 3 2 2 7 2" xfId="4208" xr:uid="{00000000-0005-0000-0000-0000F80A0000}"/>
    <cellStyle name="Currency 3 2 2 7 2 2" xfId="8430" xr:uid="{00000000-0005-0000-0000-0000F90A0000}"/>
    <cellStyle name="Currency 3 2 2 7 2 2 2" xfId="16880" xr:uid="{A682D0E3-DF33-4190-AC32-16F63B19FDDF}"/>
    <cellStyle name="Currency 3 2 2 7 2 3" xfId="12662" xr:uid="{0E107348-CD8F-4A25-9E1C-6851441C38DD}"/>
    <cellStyle name="Currency 3 2 2 7 3" xfId="6285" xr:uid="{00000000-0005-0000-0000-0000FA0A0000}"/>
    <cellStyle name="Currency 3 2 2 7 3 2" xfId="14735" xr:uid="{9C692238-5BE3-437C-B628-8AEECC7C34E8}"/>
    <cellStyle name="Currency 3 2 2 7 4" xfId="10517" xr:uid="{F84DA86B-2D1C-4677-9A6E-88E26ED686BE}"/>
    <cellStyle name="Currency 3 2 2 8" xfId="2414" xr:uid="{00000000-0005-0000-0000-0000FB0A0000}"/>
    <cellStyle name="Currency 3 2 2 8 2" xfId="6698" xr:uid="{00000000-0005-0000-0000-0000FC0A0000}"/>
    <cellStyle name="Currency 3 2 2 8 2 2" xfId="15148" xr:uid="{CD978056-97E2-4D13-B152-B53DCE93E154}"/>
    <cellStyle name="Currency 3 2 2 8 3" xfId="10930" xr:uid="{386E2738-C470-4B12-8E1D-0DD33F3D34F0}"/>
    <cellStyle name="Currency 3 2 2 9" xfId="2711" xr:uid="{00000000-0005-0000-0000-0000FD0A0000}"/>
    <cellStyle name="Currency 3 2 3" xfId="182" xr:uid="{00000000-0005-0000-0000-0000FE0A0000}"/>
    <cellStyle name="Currency 3 2 3 10" xfId="4636" xr:uid="{00000000-0005-0000-0000-0000FF0A0000}"/>
    <cellStyle name="Currency 3 2 3 10 2" xfId="13086" xr:uid="{72AB2046-FC1B-4109-B581-F8D392312843}"/>
    <cellStyle name="Currency 3 2 3 11" xfId="8868" xr:uid="{F55C9D92-3968-4F4E-9B5C-B2A7DB9BE718}"/>
    <cellStyle name="Currency 3 2 3 2" xfId="183" xr:uid="{00000000-0005-0000-0000-0000000B0000}"/>
    <cellStyle name="Currency 3 2 3 2 10" xfId="8869" xr:uid="{FEA16E15-3A6E-45CE-AAAE-0A63B8B9B1E3}"/>
    <cellStyle name="Currency 3 2 3 2 2" xfId="713" xr:uid="{00000000-0005-0000-0000-0000010B0000}"/>
    <cellStyle name="Currency 3 2 3 2 2 2" xfId="2974" xr:uid="{00000000-0005-0000-0000-0000020B0000}"/>
    <cellStyle name="Currency 3 2 3 2 2 2 2" xfId="7196" xr:uid="{00000000-0005-0000-0000-0000030B0000}"/>
    <cellStyle name="Currency 3 2 3 2 2 2 2 2" xfId="15646" xr:uid="{152C09E4-675D-40E8-9A00-08FCE3F213D4}"/>
    <cellStyle name="Currency 3 2 3 2 2 2 3" xfId="11428" xr:uid="{AFA9CA7E-485C-4690-B7E9-00BB2D5472DB}"/>
    <cellStyle name="Currency 3 2 3 2 2 3" xfId="5051" xr:uid="{00000000-0005-0000-0000-0000040B0000}"/>
    <cellStyle name="Currency 3 2 3 2 2 3 2" xfId="13501" xr:uid="{36524799-41B1-4891-A949-EC8EC20A18DF}"/>
    <cellStyle name="Currency 3 2 3 2 2 4" xfId="9283" xr:uid="{FA97DF74-997F-4149-B490-DA67DA6E4C51}"/>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2 2 2" xfId="16059" xr:uid="{ACB760BA-E461-47E7-A781-D128F31F6E45}"/>
    <cellStyle name="Currency 3 2 3 2 3 2 3" xfId="11841" xr:uid="{E53B17B1-3C6E-42A8-9615-CFBEFEA2B58B}"/>
    <cellStyle name="Currency 3 2 3 2 3 3" xfId="5464" xr:uid="{00000000-0005-0000-0000-0000080B0000}"/>
    <cellStyle name="Currency 3 2 3 2 3 3 2" xfId="13914" xr:uid="{AFDE520F-DF2F-4B52-8EC0-B499FD4C0E88}"/>
    <cellStyle name="Currency 3 2 3 2 3 4" xfId="9696" xr:uid="{5F240E7F-C6C6-46C3-8600-2A4CE789F812}"/>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2 2 2" xfId="16472" xr:uid="{FB3749FA-6A29-465B-B076-76D2343C1FA2}"/>
    <cellStyle name="Currency 3 2 3 2 4 2 3" xfId="12254" xr:uid="{068C67C6-6119-4AEB-9CED-2F47B265CE2C}"/>
    <cellStyle name="Currency 3 2 3 2 4 3" xfId="5877" xr:uid="{00000000-0005-0000-0000-00000C0B0000}"/>
    <cellStyle name="Currency 3 2 3 2 4 3 2" xfId="14327" xr:uid="{09029C25-A586-46B6-9872-427DD38619A2}"/>
    <cellStyle name="Currency 3 2 3 2 4 4" xfId="10109" xr:uid="{4D33DA62-11B0-462C-ACCF-BA5A578C79BF}"/>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2 2 2" xfId="16885" xr:uid="{610EEC2A-6FBE-48F4-AD25-365D070F4ECE}"/>
    <cellStyle name="Currency 3 2 3 2 5 2 3" xfId="12667" xr:uid="{D21EF649-80A2-40D4-A0B9-CD2158128714}"/>
    <cellStyle name="Currency 3 2 3 2 5 3" xfId="6290" xr:uid="{00000000-0005-0000-0000-0000100B0000}"/>
    <cellStyle name="Currency 3 2 3 2 5 3 2" xfId="14740" xr:uid="{4F13BB85-B15A-44B3-A01D-4CFBB8E97423}"/>
    <cellStyle name="Currency 3 2 3 2 5 4" xfId="10522" xr:uid="{50DB848E-527C-487E-BF43-012291C3B2B0}"/>
    <cellStyle name="Currency 3 2 3 2 6" xfId="2419" xr:uid="{00000000-0005-0000-0000-0000110B0000}"/>
    <cellStyle name="Currency 3 2 3 2 6 2" xfId="6703" xr:uid="{00000000-0005-0000-0000-0000120B0000}"/>
    <cellStyle name="Currency 3 2 3 2 6 2 2" xfId="15153" xr:uid="{C51BBE13-DBF3-4B94-AEBB-AA531B9E3290}"/>
    <cellStyle name="Currency 3 2 3 2 6 3" xfId="10935" xr:uid="{4EFDF886-E6FD-4B55-91D2-F96DD9E1CF19}"/>
    <cellStyle name="Currency 3 2 3 2 7" xfId="2716" xr:uid="{00000000-0005-0000-0000-0000130B0000}"/>
    <cellStyle name="Currency 3 2 3 2 8" xfId="2797" xr:uid="{00000000-0005-0000-0000-0000140B0000}"/>
    <cellStyle name="Currency 3 2 3 2 8 2" xfId="7020" xr:uid="{00000000-0005-0000-0000-0000150B0000}"/>
    <cellStyle name="Currency 3 2 3 2 8 2 2" xfId="15470" xr:uid="{BC4E8A93-44AF-4724-848F-64A120B49B9C}"/>
    <cellStyle name="Currency 3 2 3 2 8 3" xfId="11252" xr:uid="{DFD9571D-CD7F-47B2-9714-6773379D9AAE}"/>
    <cellStyle name="Currency 3 2 3 2 9" xfId="4637" xr:uid="{00000000-0005-0000-0000-0000160B0000}"/>
    <cellStyle name="Currency 3 2 3 2 9 2" xfId="13087" xr:uid="{3418A0D6-E5FB-4EFB-818E-189E50CBD59B}"/>
    <cellStyle name="Currency 3 2 3 3" xfId="712" xr:uid="{00000000-0005-0000-0000-0000170B0000}"/>
    <cellStyle name="Currency 3 2 3 3 2" xfId="2973" xr:uid="{00000000-0005-0000-0000-0000180B0000}"/>
    <cellStyle name="Currency 3 2 3 3 2 2" xfId="7195" xr:uid="{00000000-0005-0000-0000-0000190B0000}"/>
    <cellStyle name="Currency 3 2 3 3 2 2 2" xfId="15645" xr:uid="{477B6BAE-449D-45E7-B20E-644FFA36AF60}"/>
    <cellStyle name="Currency 3 2 3 3 2 3" xfId="11427" xr:uid="{A3976D5F-2E2F-499F-A1D0-67039A0A1B99}"/>
    <cellStyle name="Currency 3 2 3 3 3" xfId="5050" xr:uid="{00000000-0005-0000-0000-00001A0B0000}"/>
    <cellStyle name="Currency 3 2 3 3 3 2" xfId="13500" xr:uid="{31911439-B7DF-4BE7-9B4E-BCD7517DA6D2}"/>
    <cellStyle name="Currency 3 2 3 3 4" xfId="9282" xr:uid="{6458E57A-4576-4F68-8725-D423284ABF0B}"/>
    <cellStyle name="Currency 3 2 3 4" xfId="1155" xr:uid="{00000000-0005-0000-0000-00001B0B0000}"/>
    <cellStyle name="Currency 3 2 3 4 2" xfId="3386" xr:uid="{00000000-0005-0000-0000-00001C0B0000}"/>
    <cellStyle name="Currency 3 2 3 4 2 2" xfId="7608" xr:uid="{00000000-0005-0000-0000-00001D0B0000}"/>
    <cellStyle name="Currency 3 2 3 4 2 2 2" xfId="16058" xr:uid="{6ABD4CE9-CC81-4993-862A-35E39B82A0D8}"/>
    <cellStyle name="Currency 3 2 3 4 2 3" xfId="11840" xr:uid="{52B2231E-2EAD-4CCA-949D-34FA1BBCBCDA}"/>
    <cellStyle name="Currency 3 2 3 4 3" xfId="5463" xr:uid="{00000000-0005-0000-0000-00001E0B0000}"/>
    <cellStyle name="Currency 3 2 3 4 3 2" xfId="13913" xr:uid="{44DE6BA6-1BE3-4550-B1E3-E4955D031AE2}"/>
    <cellStyle name="Currency 3 2 3 4 4" xfId="9695" xr:uid="{CAF63BB7-EB30-447D-AF47-26F9F31FA15F}"/>
    <cellStyle name="Currency 3 2 3 5" xfId="1569" xr:uid="{00000000-0005-0000-0000-00001F0B0000}"/>
    <cellStyle name="Currency 3 2 3 5 2" xfId="3799" xr:uid="{00000000-0005-0000-0000-0000200B0000}"/>
    <cellStyle name="Currency 3 2 3 5 2 2" xfId="8021" xr:uid="{00000000-0005-0000-0000-0000210B0000}"/>
    <cellStyle name="Currency 3 2 3 5 2 2 2" xfId="16471" xr:uid="{14FD5C26-2EAA-4F8E-B69D-66B81748C776}"/>
    <cellStyle name="Currency 3 2 3 5 2 3" xfId="12253" xr:uid="{F0664036-BCC1-4C45-A7B1-ADAE79D37E89}"/>
    <cellStyle name="Currency 3 2 3 5 3" xfId="5876" xr:uid="{00000000-0005-0000-0000-0000220B0000}"/>
    <cellStyle name="Currency 3 2 3 5 3 2" xfId="14326" xr:uid="{06035646-94A1-4EE0-BABD-087AA829E5D0}"/>
    <cellStyle name="Currency 3 2 3 5 4" xfId="10108" xr:uid="{6AC99B4F-DC88-4C26-B5A9-1325669D673E}"/>
    <cellStyle name="Currency 3 2 3 6" xfId="1983" xr:uid="{00000000-0005-0000-0000-0000230B0000}"/>
    <cellStyle name="Currency 3 2 3 6 2" xfId="4212" xr:uid="{00000000-0005-0000-0000-0000240B0000}"/>
    <cellStyle name="Currency 3 2 3 6 2 2" xfId="8434" xr:uid="{00000000-0005-0000-0000-0000250B0000}"/>
    <cellStyle name="Currency 3 2 3 6 2 2 2" xfId="16884" xr:uid="{99AB11E4-9309-4976-84D3-9144EA648558}"/>
    <cellStyle name="Currency 3 2 3 6 2 3" xfId="12666" xr:uid="{6C6C492F-DA36-40FB-B578-40C60979D0F0}"/>
    <cellStyle name="Currency 3 2 3 6 3" xfId="6289" xr:uid="{00000000-0005-0000-0000-0000260B0000}"/>
    <cellStyle name="Currency 3 2 3 6 3 2" xfId="14739" xr:uid="{9A36DE53-339A-451D-A428-3C48E87D1969}"/>
    <cellStyle name="Currency 3 2 3 6 4" xfId="10521" xr:uid="{2EE2F005-0E9D-4163-A859-3C5A2F9B471D}"/>
    <cellStyle name="Currency 3 2 3 7" xfId="2418" xr:uid="{00000000-0005-0000-0000-0000270B0000}"/>
    <cellStyle name="Currency 3 2 3 7 2" xfId="6702" xr:uid="{00000000-0005-0000-0000-0000280B0000}"/>
    <cellStyle name="Currency 3 2 3 7 2 2" xfId="15152" xr:uid="{496D35ED-6816-4B80-95E2-8C13EB6D10AB}"/>
    <cellStyle name="Currency 3 2 3 7 3" xfId="10934" xr:uid="{77A06355-840E-4AB7-B0D5-FA8F4EEAC902}"/>
    <cellStyle name="Currency 3 2 3 8" xfId="2715" xr:uid="{00000000-0005-0000-0000-0000290B0000}"/>
    <cellStyle name="Currency 3 2 3 9" xfId="2796" xr:uid="{00000000-0005-0000-0000-00002A0B0000}"/>
    <cellStyle name="Currency 3 2 3 9 2" xfId="7019" xr:uid="{00000000-0005-0000-0000-00002B0B0000}"/>
    <cellStyle name="Currency 3 2 3 9 2 2" xfId="15469" xr:uid="{7F4FDD6C-7AA0-40A2-BB4C-BF84514F000E}"/>
    <cellStyle name="Currency 3 2 3 9 3" xfId="11251" xr:uid="{9946DCD8-BFB9-4C27-BD65-96001AACEFC9}"/>
    <cellStyle name="Currency 3 2 4" xfId="184" xr:uid="{00000000-0005-0000-0000-00002C0B0000}"/>
    <cellStyle name="Currency 3 2 4 10" xfId="8870" xr:uid="{CAD99553-6970-45A8-BDB9-A4CCBD333F79}"/>
    <cellStyle name="Currency 3 2 4 2" xfId="714" xr:uid="{00000000-0005-0000-0000-00002D0B0000}"/>
    <cellStyle name="Currency 3 2 4 2 2" xfId="2975" xr:uid="{00000000-0005-0000-0000-00002E0B0000}"/>
    <cellStyle name="Currency 3 2 4 2 2 2" xfId="7197" xr:uid="{00000000-0005-0000-0000-00002F0B0000}"/>
    <cellStyle name="Currency 3 2 4 2 2 2 2" xfId="15647" xr:uid="{473A206C-72D5-4831-975C-F5F4BAFD1155}"/>
    <cellStyle name="Currency 3 2 4 2 2 3" xfId="11429" xr:uid="{44FD46BD-99D4-4D5B-8481-205912961725}"/>
    <cellStyle name="Currency 3 2 4 2 3" xfId="5052" xr:uid="{00000000-0005-0000-0000-0000300B0000}"/>
    <cellStyle name="Currency 3 2 4 2 3 2" xfId="13502" xr:uid="{D187E0DF-2806-4008-A445-904F8C59671B}"/>
    <cellStyle name="Currency 3 2 4 2 4" xfId="9284" xr:uid="{2C71F295-1471-40B1-8703-979E22178590}"/>
    <cellStyle name="Currency 3 2 4 3" xfId="1157" xr:uid="{00000000-0005-0000-0000-0000310B0000}"/>
    <cellStyle name="Currency 3 2 4 3 2" xfId="3388" xr:uid="{00000000-0005-0000-0000-0000320B0000}"/>
    <cellStyle name="Currency 3 2 4 3 2 2" xfId="7610" xr:uid="{00000000-0005-0000-0000-0000330B0000}"/>
    <cellStyle name="Currency 3 2 4 3 2 2 2" xfId="16060" xr:uid="{0B8D199D-460E-4422-9401-B5CAED7B9C23}"/>
    <cellStyle name="Currency 3 2 4 3 2 3" xfId="11842" xr:uid="{B4F75541-2D11-48E0-9F97-243466348B14}"/>
    <cellStyle name="Currency 3 2 4 3 3" xfId="5465" xr:uid="{00000000-0005-0000-0000-0000340B0000}"/>
    <cellStyle name="Currency 3 2 4 3 3 2" xfId="13915" xr:uid="{920189E6-25A6-4E11-86C4-142F01F07262}"/>
    <cellStyle name="Currency 3 2 4 3 4" xfId="9697" xr:uid="{12CA7793-418C-4375-8F8B-9F36A1129945}"/>
    <cellStyle name="Currency 3 2 4 4" xfId="1571" xr:uid="{00000000-0005-0000-0000-0000350B0000}"/>
    <cellStyle name="Currency 3 2 4 4 2" xfId="3801" xr:uid="{00000000-0005-0000-0000-0000360B0000}"/>
    <cellStyle name="Currency 3 2 4 4 2 2" xfId="8023" xr:uid="{00000000-0005-0000-0000-0000370B0000}"/>
    <cellStyle name="Currency 3 2 4 4 2 2 2" xfId="16473" xr:uid="{1970A70E-E493-4E5F-9D24-5B1612DB485D}"/>
    <cellStyle name="Currency 3 2 4 4 2 3" xfId="12255" xr:uid="{A21A2B1A-5BE7-44AD-8BF0-474399245201}"/>
    <cellStyle name="Currency 3 2 4 4 3" xfId="5878" xr:uid="{00000000-0005-0000-0000-0000380B0000}"/>
    <cellStyle name="Currency 3 2 4 4 3 2" xfId="14328" xr:uid="{5DF0A55C-E4FE-4690-9027-05ECBA4F6C6D}"/>
    <cellStyle name="Currency 3 2 4 4 4" xfId="10110" xr:uid="{1503B0F7-991E-408C-B5C4-4A892CECB8A6}"/>
    <cellStyle name="Currency 3 2 4 5" xfId="1985" xr:uid="{00000000-0005-0000-0000-0000390B0000}"/>
    <cellStyle name="Currency 3 2 4 5 2" xfId="4214" xr:uid="{00000000-0005-0000-0000-00003A0B0000}"/>
    <cellStyle name="Currency 3 2 4 5 2 2" xfId="8436" xr:uid="{00000000-0005-0000-0000-00003B0B0000}"/>
    <cellStyle name="Currency 3 2 4 5 2 2 2" xfId="16886" xr:uid="{367E8FED-5B39-4263-A3B4-3FFFB2CDF9C5}"/>
    <cellStyle name="Currency 3 2 4 5 2 3" xfId="12668" xr:uid="{9AD37D61-209C-4977-92A3-F4DB11F6FA1A}"/>
    <cellStyle name="Currency 3 2 4 5 3" xfId="6291" xr:uid="{00000000-0005-0000-0000-00003C0B0000}"/>
    <cellStyle name="Currency 3 2 4 5 3 2" xfId="14741" xr:uid="{DF054EC0-26F8-4AC2-B160-61E8268D9747}"/>
    <cellStyle name="Currency 3 2 4 5 4" xfId="10523" xr:uid="{6E76F41E-A290-4471-9944-D97B54BBC336}"/>
    <cellStyle name="Currency 3 2 4 6" xfId="2420" xr:uid="{00000000-0005-0000-0000-00003D0B0000}"/>
    <cellStyle name="Currency 3 2 4 6 2" xfId="6704" xr:uid="{00000000-0005-0000-0000-00003E0B0000}"/>
    <cellStyle name="Currency 3 2 4 6 2 2" xfId="15154" xr:uid="{0A18A4E3-EFE4-48A1-BFF4-9EA6721392A1}"/>
    <cellStyle name="Currency 3 2 4 6 3" xfId="10936" xr:uid="{A9CDEFD2-FB85-45F9-98F8-6A2D4EF8C02D}"/>
    <cellStyle name="Currency 3 2 4 7" xfId="2717" xr:uid="{00000000-0005-0000-0000-00003F0B0000}"/>
    <cellStyle name="Currency 3 2 4 8" xfId="2798" xr:uid="{00000000-0005-0000-0000-0000400B0000}"/>
    <cellStyle name="Currency 3 2 4 8 2" xfId="7021" xr:uid="{00000000-0005-0000-0000-0000410B0000}"/>
    <cellStyle name="Currency 3 2 4 8 2 2" xfId="15471" xr:uid="{7A6BB157-21F1-4CAA-9A81-21F06E45C02D}"/>
    <cellStyle name="Currency 3 2 4 8 3" xfId="11253" xr:uid="{16CADD04-FC2B-4757-BAE8-156A638BD859}"/>
    <cellStyle name="Currency 3 2 4 9" xfId="4638" xr:uid="{00000000-0005-0000-0000-0000420B0000}"/>
    <cellStyle name="Currency 3 2 4 9 2" xfId="13088" xr:uid="{7F6190C8-F6C5-4B7F-802B-6F3D6F1390C6}"/>
    <cellStyle name="Currency 3 2 5" xfId="185" xr:uid="{00000000-0005-0000-0000-0000430B0000}"/>
    <cellStyle name="Currency 3 2 5 10" xfId="8871" xr:uid="{3A02605D-5F29-4AC6-9F89-8CC8E819D39C}"/>
    <cellStyle name="Currency 3 2 5 2" xfId="715" xr:uid="{00000000-0005-0000-0000-0000440B0000}"/>
    <cellStyle name="Currency 3 2 5 2 2" xfId="2976" xr:uid="{00000000-0005-0000-0000-0000450B0000}"/>
    <cellStyle name="Currency 3 2 5 2 2 2" xfId="7198" xr:uid="{00000000-0005-0000-0000-0000460B0000}"/>
    <cellStyle name="Currency 3 2 5 2 2 2 2" xfId="15648" xr:uid="{7BCA03D5-BB74-4190-98BF-8083E9F57BD3}"/>
    <cellStyle name="Currency 3 2 5 2 2 3" xfId="11430" xr:uid="{E288F220-1AE5-4D6A-A53B-DC37A94D36DE}"/>
    <cellStyle name="Currency 3 2 5 2 3" xfId="5053" xr:uid="{00000000-0005-0000-0000-0000470B0000}"/>
    <cellStyle name="Currency 3 2 5 2 3 2" xfId="13503" xr:uid="{37C7CB3B-98CB-4616-A3A5-91C199D9C782}"/>
    <cellStyle name="Currency 3 2 5 2 4" xfId="9285" xr:uid="{6742FFD0-304D-492B-B7E5-121F747416A7}"/>
    <cellStyle name="Currency 3 2 5 3" xfId="1158" xr:uid="{00000000-0005-0000-0000-0000480B0000}"/>
    <cellStyle name="Currency 3 2 5 3 2" xfId="3389" xr:uid="{00000000-0005-0000-0000-0000490B0000}"/>
    <cellStyle name="Currency 3 2 5 3 2 2" xfId="7611" xr:uid="{00000000-0005-0000-0000-00004A0B0000}"/>
    <cellStyle name="Currency 3 2 5 3 2 2 2" xfId="16061" xr:uid="{62E4D494-9712-4451-A9A4-03500ACB0274}"/>
    <cellStyle name="Currency 3 2 5 3 2 3" xfId="11843" xr:uid="{F99507A9-D4D7-4D48-AB82-C31C5D0470A7}"/>
    <cellStyle name="Currency 3 2 5 3 3" xfId="5466" xr:uid="{00000000-0005-0000-0000-00004B0B0000}"/>
    <cellStyle name="Currency 3 2 5 3 3 2" xfId="13916" xr:uid="{2A0C1ED9-3B00-47BC-B2AC-CFA1073DCB36}"/>
    <cellStyle name="Currency 3 2 5 3 4" xfId="9698" xr:uid="{2827D23C-85DE-438D-8F65-6691A9127B03}"/>
    <cellStyle name="Currency 3 2 5 4" xfId="1572" xr:uid="{00000000-0005-0000-0000-00004C0B0000}"/>
    <cellStyle name="Currency 3 2 5 4 2" xfId="3802" xr:uid="{00000000-0005-0000-0000-00004D0B0000}"/>
    <cellStyle name="Currency 3 2 5 4 2 2" xfId="8024" xr:uid="{00000000-0005-0000-0000-00004E0B0000}"/>
    <cellStyle name="Currency 3 2 5 4 2 2 2" xfId="16474" xr:uid="{5B6041B8-8EAD-46A6-AE0B-9370A4791462}"/>
    <cellStyle name="Currency 3 2 5 4 2 3" xfId="12256" xr:uid="{E2C04914-1C8A-4543-AE2D-D62D36A84E25}"/>
    <cellStyle name="Currency 3 2 5 4 3" xfId="5879" xr:uid="{00000000-0005-0000-0000-00004F0B0000}"/>
    <cellStyle name="Currency 3 2 5 4 3 2" xfId="14329" xr:uid="{8B1992CD-ED4C-4075-8088-29335414A117}"/>
    <cellStyle name="Currency 3 2 5 4 4" xfId="10111" xr:uid="{203B5386-9830-409F-9D9C-33A172CF2AC9}"/>
    <cellStyle name="Currency 3 2 5 5" xfId="1986" xr:uid="{00000000-0005-0000-0000-0000500B0000}"/>
    <cellStyle name="Currency 3 2 5 5 2" xfId="4215" xr:uid="{00000000-0005-0000-0000-0000510B0000}"/>
    <cellStyle name="Currency 3 2 5 5 2 2" xfId="8437" xr:uid="{00000000-0005-0000-0000-0000520B0000}"/>
    <cellStyle name="Currency 3 2 5 5 2 2 2" xfId="16887" xr:uid="{4C78C58E-D5A1-442D-820D-B8E466BC9654}"/>
    <cellStyle name="Currency 3 2 5 5 2 3" xfId="12669" xr:uid="{0A8104B5-34A4-4AB8-810A-545AFE60E63C}"/>
    <cellStyle name="Currency 3 2 5 5 3" xfId="6292" xr:uid="{00000000-0005-0000-0000-0000530B0000}"/>
    <cellStyle name="Currency 3 2 5 5 3 2" xfId="14742" xr:uid="{D4353A86-C0F5-4B83-881B-F8BD05C9088F}"/>
    <cellStyle name="Currency 3 2 5 5 4" xfId="10524" xr:uid="{3F929E91-B3AD-41D4-BB90-7F70CA7D831F}"/>
    <cellStyle name="Currency 3 2 5 6" xfId="2421" xr:uid="{00000000-0005-0000-0000-0000540B0000}"/>
    <cellStyle name="Currency 3 2 5 6 2" xfId="6705" xr:uid="{00000000-0005-0000-0000-0000550B0000}"/>
    <cellStyle name="Currency 3 2 5 6 2 2" xfId="15155" xr:uid="{D10FF76C-B063-4800-9EAA-85D667A67481}"/>
    <cellStyle name="Currency 3 2 5 6 3" xfId="10937" xr:uid="{D9AA7779-935B-4CB2-BED4-6CC6B0A4598D}"/>
    <cellStyle name="Currency 3 2 5 7" xfId="2718" xr:uid="{00000000-0005-0000-0000-0000560B0000}"/>
    <cellStyle name="Currency 3 2 5 8" xfId="2799" xr:uid="{00000000-0005-0000-0000-0000570B0000}"/>
    <cellStyle name="Currency 3 2 5 8 2" xfId="7022" xr:uid="{00000000-0005-0000-0000-0000580B0000}"/>
    <cellStyle name="Currency 3 2 5 8 2 2" xfId="15472" xr:uid="{C6AE88E8-5569-4C12-A05F-F134941DB5BD}"/>
    <cellStyle name="Currency 3 2 5 8 3" xfId="11254" xr:uid="{06EBD33F-5AEA-44AD-8679-EA4AF32C7A0C}"/>
    <cellStyle name="Currency 3 2 5 9" xfId="4639" xr:uid="{00000000-0005-0000-0000-0000590B0000}"/>
    <cellStyle name="Currency 3 2 5 9 2" xfId="13089" xr:uid="{7E1F302C-1840-4132-B905-BAF0F1618F5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0 2 2" xfId="15473" xr:uid="{D8F2D748-2A43-4945-9965-DF2DC32417E3}"/>
    <cellStyle name="Currency 5 2 2 2 10 3" xfId="11255" xr:uid="{5A1222EB-BDDE-41E5-9BD6-A685621E1EF7}"/>
    <cellStyle name="Currency 5 2 2 2 11" xfId="4640" xr:uid="{00000000-0005-0000-0000-00006C0B0000}"/>
    <cellStyle name="Currency 5 2 2 2 11 2" xfId="13090" xr:uid="{C0087124-13F8-42B7-898B-7729C86E0908}"/>
    <cellStyle name="Currency 5 2 2 2 12" xfId="8872" xr:uid="{555E0FA6-CCDD-42EC-BE47-84C749B3DE5A}"/>
    <cellStyle name="Currency 5 2 2 2 2" xfId="197" xr:uid="{00000000-0005-0000-0000-00006D0B0000}"/>
    <cellStyle name="Currency 5 2 2 2 2 10" xfId="4641" xr:uid="{00000000-0005-0000-0000-00006E0B0000}"/>
    <cellStyle name="Currency 5 2 2 2 2 10 2" xfId="13091" xr:uid="{D776ED6C-318B-4026-91B5-806F58342C74}"/>
    <cellStyle name="Currency 5 2 2 2 2 11" xfId="8873" xr:uid="{FB12A181-329B-4F5F-84CB-F67C9DE1A81E}"/>
    <cellStyle name="Currency 5 2 2 2 2 2" xfId="198" xr:uid="{00000000-0005-0000-0000-00006F0B0000}"/>
    <cellStyle name="Currency 5 2 2 2 2 2 10" xfId="8874" xr:uid="{464C1225-DD07-404D-B862-D17EF2E9B761}"/>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2 2 2" xfId="15651" xr:uid="{F35B7E70-21E7-4E9E-949F-F5993ADD6CA0}"/>
    <cellStyle name="Currency 5 2 2 2 2 2 2 2 3" xfId="11433" xr:uid="{16DAF5AD-4A29-4AD8-8AD0-24B06BAE0B19}"/>
    <cellStyle name="Currency 5 2 2 2 2 2 2 3" xfId="5056" xr:uid="{00000000-0005-0000-0000-0000730B0000}"/>
    <cellStyle name="Currency 5 2 2 2 2 2 2 3 2" xfId="13506" xr:uid="{DD7FE071-5D9C-48E7-80B7-2DD7CA6B6FB0}"/>
    <cellStyle name="Currency 5 2 2 2 2 2 2 4" xfId="9288" xr:uid="{36C16800-F738-4094-A81F-1DD4142E796D}"/>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2 2 2" xfId="16064" xr:uid="{B913DAF1-F132-442E-9A56-0010A9C07680}"/>
    <cellStyle name="Currency 5 2 2 2 2 2 3 2 3" xfId="11846" xr:uid="{6A7D7E97-E4CC-4608-AD0A-41A767B25675}"/>
    <cellStyle name="Currency 5 2 2 2 2 2 3 3" xfId="5469" xr:uid="{00000000-0005-0000-0000-0000770B0000}"/>
    <cellStyle name="Currency 5 2 2 2 2 2 3 3 2" xfId="13919" xr:uid="{3371046C-5CE3-4249-AF27-26B315C2F28C}"/>
    <cellStyle name="Currency 5 2 2 2 2 2 3 4" xfId="9701" xr:uid="{19EB3666-218E-40E2-890A-FC7BCC62DB3F}"/>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2 2 2" xfId="16477" xr:uid="{B8BD103A-0B72-41FE-95B4-47269681B5C9}"/>
    <cellStyle name="Currency 5 2 2 2 2 2 4 2 3" xfId="12259" xr:uid="{37CCCCB3-4E86-4E74-8B58-648635E83446}"/>
    <cellStyle name="Currency 5 2 2 2 2 2 4 3" xfId="5882" xr:uid="{00000000-0005-0000-0000-00007B0B0000}"/>
    <cellStyle name="Currency 5 2 2 2 2 2 4 3 2" xfId="14332" xr:uid="{1914A7BF-B5B2-4448-A1FE-573BB8E7AFEF}"/>
    <cellStyle name="Currency 5 2 2 2 2 2 4 4" xfId="10114" xr:uid="{ED54CAC8-2B4D-4F8C-8DD4-836BFF7FFEAD}"/>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2 2 2" xfId="16890" xr:uid="{EE609163-8DEA-4ADA-9667-7F2DC0C1992B}"/>
    <cellStyle name="Currency 5 2 2 2 2 2 5 2 3" xfId="12672" xr:uid="{303F8E66-5665-44D1-876A-399C94B187BE}"/>
    <cellStyle name="Currency 5 2 2 2 2 2 5 3" xfId="6295" xr:uid="{00000000-0005-0000-0000-00007F0B0000}"/>
    <cellStyle name="Currency 5 2 2 2 2 2 5 3 2" xfId="14745" xr:uid="{104BF782-D252-46FB-BC3F-A9A331A8A2CA}"/>
    <cellStyle name="Currency 5 2 2 2 2 2 5 4" xfId="10527" xr:uid="{BA39EBFF-13FD-4D9D-AB0D-FD86C511C305}"/>
    <cellStyle name="Currency 5 2 2 2 2 2 6" xfId="2424" xr:uid="{00000000-0005-0000-0000-0000800B0000}"/>
    <cellStyle name="Currency 5 2 2 2 2 2 6 2" xfId="6708" xr:uid="{00000000-0005-0000-0000-0000810B0000}"/>
    <cellStyle name="Currency 5 2 2 2 2 2 6 2 2" xfId="15158" xr:uid="{40DD2DFB-1AB6-41EE-80E4-3FD188A18C1D}"/>
    <cellStyle name="Currency 5 2 2 2 2 2 6 3" xfId="10940" xr:uid="{9F4B10B7-B54F-44F6-A38E-CF7932A06688}"/>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8 2 2" xfId="15475" xr:uid="{F5F02EEE-3ECF-46F4-A30E-B8BADAAF156F}"/>
    <cellStyle name="Currency 5 2 2 2 2 2 8 3" xfId="11257" xr:uid="{5D97C65C-CA84-4B32-B699-6AF4EDA33E8F}"/>
    <cellStyle name="Currency 5 2 2 2 2 2 9" xfId="4642" xr:uid="{00000000-0005-0000-0000-0000850B0000}"/>
    <cellStyle name="Currency 5 2 2 2 2 2 9 2" xfId="13092" xr:uid="{52482FB2-7D3A-45E2-AFC6-1F6E7316F22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2 2 2" xfId="15650" xr:uid="{17796A81-70EE-4721-A9B6-78A0BFDA2F8A}"/>
    <cellStyle name="Currency 5 2 2 2 2 3 2 3" xfId="11432" xr:uid="{A0333E18-1AD4-42DC-B97A-05E9470D3849}"/>
    <cellStyle name="Currency 5 2 2 2 2 3 3" xfId="5055" xr:uid="{00000000-0005-0000-0000-0000890B0000}"/>
    <cellStyle name="Currency 5 2 2 2 2 3 3 2" xfId="13505" xr:uid="{EC82396F-7183-4E2E-9158-71D9A37D06FC}"/>
    <cellStyle name="Currency 5 2 2 2 2 3 4" xfId="9287" xr:uid="{C968B6D2-DF6D-4B2C-9ABD-135A65A2A399}"/>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2 2 2" xfId="16063" xr:uid="{8BDECA4E-A89F-4CD0-9B09-A274752C8E37}"/>
    <cellStyle name="Currency 5 2 2 2 2 4 2 3" xfId="11845" xr:uid="{C7237A93-6637-4BE4-91DF-EF5ACD5E9C5F}"/>
    <cellStyle name="Currency 5 2 2 2 2 4 3" xfId="5468" xr:uid="{00000000-0005-0000-0000-00008D0B0000}"/>
    <cellStyle name="Currency 5 2 2 2 2 4 3 2" xfId="13918" xr:uid="{00095952-616E-4C92-A077-20C19F5C63D9}"/>
    <cellStyle name="Currency 5 2 2 2 2 4 4" xfId="9700" xr:uid="{B96BB3E8-3C58-476A-A6E8-D0FB51246568}"/>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2 2 2" xfId="16476" xr:uid="{6A7B8EA3-4362-4FE3-8EEE-8C2CE9A10BAC}"/>
    <cellStyle name="Currency 5 2 2 2 2 5 2 3" xfId="12258" xr:uid="{7A3C5BCC-F0AF-4D14-8620-D09C42C09CE0}"/>
    <cellStyle name="Currency 5 2 2 2 2 5 3" xfId="5881" xr:uid="{00000000-0005-0000-0000-0000910B0000}"/>
    <cellStyle name="Currency 5 2 2 2 2 5 3 2" xfId="14331" xr:uid="{B0DB42E3-8AD5-4EAC-A149-6743CE36650A}"/>
    <cellStyle name="Currency 5 2 2 2 2 5 4" xfId="10113" xr:uid="{CC21BBA1-DCBF-4CE4-933D-1F399350E766}"/>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2 2 2" xfId="16889" xr:uid="{29A406C1-5A92-4858-8C40-FD8F42F5947F}"/>
    <cellStyle name="Currency 5 2 2 2 2 6 2 3" xfId="12671" xr:uid="{A662285A-33B2-49A1-8E72-4D214B2C96FE}"/>
    <cellStyle name="Currency 5 2 2 2 2 6 3" xfId="6294" xr:uid="{00000000-0005-0000-0000-0000950B0000}"/>
    <cellStyle name="Currency 5 2 2 2 2 6 3 2" xfId="14744" xr:uid="{C20B2A56-E983-4926-B3CD-313B93E2B1FA}"/>
    <cellStyle name="Currency 5 2 2 2 2 6 4" xfId="10526" xr:uid="{AA01A8FE-9CE0-459C-8B1B-E84E1EF0B92A}"/>
    <cellStyle name="Currency 5 2 2 2 2 7" xfId="2423" xr:uid="{00000000-0005-0000-0000-0000960B0000}"/>
    <cellStyle name="Currency 5 2 2 2 2 7 2" xfId="6707" xr:uid="{00000000-0005-0000-0000-0000970B0000}"/>
    <cellStyle name="Currency 5 2 2 2 2 7 2 2" xfId="15157" xr:uid="{13F3CA7B-3A0F-4A52-B7B5-3AD7C4E5F5FA}"/>
    <cellStyle name="Currency 5 2 2 2 2 7 3" xfId="10939" xr:uid="{B44A992B-1DDE-48EA-83B6-0442C095B919}"/>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2 9 2 2" xfId="15474" xr:uid="{BB8A4CA5-4A53-4468-82B4-E2A8E2F79061}"/>
    <cellStyle name="Currency 5 2 2 2 2 9 3" xfId="11256" xr:uid="{224D7208-6845-481A-9F6B-AFB34979D605}"/>
    <cellStyle name="Currency 5 2 2 2 3" xfId="199" xr:uid="{00000000-0005-0000-0000-00009B0B0000}"/>
    <cellStyle name="Currency 5 2 2 2 3 10" xfId="8875" xr:uid="{86A5147E-FDE7-433F-9A02-85370ED2D8BA}"/>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2 2 2" xfId="15652" xr:uid="{6A069C04-4CC6-4E3F-AC96-BA7C5D7DEF5C}"/>
    <cellStyle name="Currency 5 2 2 2 3 2 2 3" xfId="11434" xr:uid="{EF44CB57-691D-4968-A55D-7615C824E304}"/>
    <cellStyle name="Currency 5 2 2 2 3 2 3" xfId="5057" xr:uid="{00000000-0005-0000-0000-00009F0B0000}"/>
    <cellStyle name="Currency 5 2 2 2 3 2 3 2" xfId="13507" xr:uid="{45B101E8-9BCB-40B9-91B5-E7C562A2CFE8}"/>
    <cellStyle name="Currency 5 2 2 2 3 2 4" xfId="9289" xr:uid="{9BF5E8DC-2C3D-4833-A30C-B8CBCDF1A95D}"/>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2 2 2" xfId="16065" xr:uid="{11AA79EA-E994-4B21-9540-D78B7FA8BD44}"/>
    <cellStyle name="Currency 5 2 2 2 3 3 2 3" xfId="11847" xr:uid="{31F28D51-E5FD-4F05-8DD0-A1089C4B5A6C}"/>
    <cellStyle name="Currency 5 2 2 2 3 3 3" xfId="5470" xr:uid="{00000000-0005-0000-0000-0000A30B0000}"/>
    <cellStyle name="Currency 5 2 2 2 3 3 3 2" xfId="13920" xr:uid="{107EC887-DCC9-4027-8E8F-5EFB22CBB463}"/>
    <cellStyle name="Currency 5 2 2 2 3 3 4" xfId="9702" xr:uid="{3A5FFA3A-FAC6-4CB1-88E3-D7779D52459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2 2 2" xfId="16478" xr:uid="{AA446851-84C4-4B32-B4CB-1BD05695E652}"/>
    <cellStyle name="Currency 5 2 2 2 3 4 2 3" xfId="12260" xr:uid="{3C91B281-8917-4C96-8DB1-D1FE392A2FA1}"/>
    <cellStyle name="Currency 5 2 2 2 3 4 3" xfId="5883" xr:uid="{00000000-0005-0000-0000-0000A70B0000}"/>
    <cellStyle name="Currency 5 2 2 2 3 4 3 2" xfId="14333" xr:uid="{236440F4-06CB-4979-8218-8B3CE9A51EDD}"/>
    <cellStyle name="Currency 5 2 2 2 3 4 4" xfId="10115" xr:uid="{64F88629-2C69-4CB6-A857-5B78681AB6EC}"/>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2 2 2" xfId="16891" xr:uid="{32891144-582B-403D-A2D5-FCFFBF4D889B}"/>
    <cellStyle name="Currency 5 2 2 2 3 5 2 3" xfId="12673" xr:uid="{32E86289-A27B-4F4C-9F6B-6720C9A0FD8D}"/>
    <cellStyle name="Currency 5 2 2 2 3 5 3" xfId="6296" xr:uid="{00000000-0005-0000-0000-0000AB0B0000}"/>
    <cellStyle name="Currency 5 2 2 2 3 5 3 2" xfId="14746" xr:uid="{74DD8BCE-B4C2-441C-8960-71392B901E23}"/>
    <cellStyle name="Currency 5 2 2 2 3 5 4" xfId="10528" xr:uid="{59670E4C-F78B-4478-9B1A-0EECDC9D3A86}"/>
    <cellStyle name="Currency 5 2 2 2 3 6" xfId="2425" xr:uid="{00000000-0005-0000-0000-0000AC0B0000}"/>
    <cellStyle name="Currency 5 2 2 2 3 6 2" xfId="6709" xr:uid="{00000000-0005-0000-0000-0000AD0B0000}"/>
    <cellStyle name="Currency 5 2 2 2 3 6 2 2" xfId="15159" xr:uid="{83DA2CE9-781F-42DD-A065-C49E4ED8DEE9}"/>
    <cellStyle name="Currency 5 2 2 2 3 6 3" xfId="10941" xr:uid="{EC3156B4-ED63-4F91-97D2-291ABBFBE447}"/>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8 2 2" xfId="15476" xr:uid="{601C0A0E-77C3-4D92-9B20-5A28D1CFAAF1}"/>
    <cellStyle name="Currency 5 2 2 2 3 8 3" xfId="11258" xr:uid="{87F293F8-7C9B-48A7-8FBC-E3A973B1B600}"/>
    <cellStyle name="Currency 5 2 2 2 3 9" xfId="4643" xr:uid="{00000000-0005-0000-0000-0000B10B0000}"/>
    <cellStyle name="Currency 5 2 2 2 3 9 2" xfId="13093" xr:uid="{6770F082-9FFC-429E-ABD7-0872E58CB506}"/>
    <cellStyle name="Currency 5 2 2 2 4" xfId="723" xr:uid="{00000000-0005-0000-0000-0000B20B0000}"/>
    <cellStyle name="Currency 5 2 2 2 4 2" xfId="2977" xr:uid="{00000000-0005-0000-0000-0000B30B0000}"/>
    <cellStyle name="Currency 5 2 2 2 4 2 2" xfId="7199" xr:uid="{00000000-0005-0000-0000-0000B40B0000}"/>
    <cellStyle name="Currency 5 2 2 2 4 2 2 2" xfId="15649" xr:uid="{EFA0A1C1-B68A-4D7D-94CD-FC2788C2C018}"/>
    <cellStyle name="Currency 5 2 2 2 4 2 3" xfId="11431" xr:uid="{83AC140E-F085-4400-81A6-5FA3EC21E8EF}"/>
    <cellStyle name="Currency 5 2 2 2 4 3" xfId="5054" xr:uid="{00000000-0005-0000-0000-0000B50B0000}"/>
    <cellStyle name="Currency 5 2 2 2 4 3 2" xfId="13504" xr:uid="{940D3888-8469-4F1C-A91B-E4743857F694}"/>
    <cellStyle name="Currency 5 2 2 2 4 4" xfId="9286" xr:uid="{CF042F0E-86B4-4B7C-A384-B23D3805CDD2}"/>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2 2 2" xfId="16062" xr:uid="{0CC380DE-CB45-442A-B438-1411371657B6}"/>
    <cellStyle name="Currency 5 2 2 2 5 2 3" xfId="11844" xr:uid="{35089324-CCEB-47EB-AA50-8FD14FDF3659}"/>
    <cellStyle name="Currency 5 2 2 2 5 3" xfId="5467" xr:uid="{00000000-0005-0000-0000-0000B90B0000}"/>
    <cellStyle name="Currency 5 2 2 2 5 3 2" xfId="13917" xr:uid="{57A1B738-9C9D-42E6-B765-D1A071C6F0C7}"/>
    <cellStyle name="Currency 5 2 2 2 5 4" xfId="9699" xr:uid="{DE384953-1FF3-425D-A903-D1695EA2AE94}"/>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2 2 2" xfId="16475" xr:uid="{91719ECC-201A-41B7-B6A5-BB5A7AA34085}"/>
    <cellStyle name="Currency 5 2 2 2 6 2 3" xfId="12257" xr:uid="{667716F1-F6AE-47DE-BB0E-3C839B6B0465}"/>
    <cellStyle name="Currency 5 2 2 2 6 3" xfId="5880" xr:uid="{00000000-0005-0000-0000-0000BD0B0000}"/>
    <cellStyle name="Currency 5 2 2 2 6 3 2" xfId="14330" xr:uid="{5283E0C4-9618-4ABE-AB68-CFDB910AE6A5}"/>
    <cellStyle name="Currency 5 2 2 2 6 4" xfId="10112" xr:uid="{1732521C-5D5D-49C2-BB8B-36FC89E9361D}"/>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2 2 2" xfId="16888" xr:uid="{68657CA3-7B37-43B6-B76B-A3BA2E653150}"/>
    <cellStyle name="Currency 5 2 2 2 7 2 3" xfId="12670" xr:uid="{CE4E6C3C-6095-479D-AB46-BD0EE0B0CCE6}"/>
    <cellStyle name="Currency 5 2 2 2 7 3" xfId="6293" xr:uid="{00000000-0005-0000-0000-0000C10B0000}"/>
    <cellStyle name="Currency 5 2 2 2 7 3 2" xfId="14743" xr:uid="{5A90FF9D-F07A-4175-B2D1-F7D29A9251A2}"/>
    <cellStyle name="Currency 5 2 2 2 7 4" xfId="10525" xr:uid="{27D7A101-0340-4530-A042-761D77B4BBA3}"/>
    <cellStyle name="Currency 5 2 2 2 8" xfId="2422" xr:uid="{00000000-0005-0000-0000-0000C20B0000}"/>
    <cellStyle name="Currency 5 2 2 2 8 2" xfId="6706" xr:uid="{00000000-0005-0000-0000-0000C30B0000}"/>
    <cellStyle name="Currency 5 2 2 2 8 2 2" xfId="15156" xr:uid="{91CD80FF-AD64-4FC6-9221-BE5E93F758BB}"/>
    <cellStyle name="Currency 5 2 2 2 8 3" xfId="10938" xr:uid="{727B6F6F-4DDB-4B38-B148-AC368DC9C4E5}"/>
    <cellStyle name="Currency 5 2 2 2 9" xfId="2719" xr:uid="{00000000-0005-0000-0000-0000C40B0000}"/>
    <cellStyle name="Currency 5 2 2 3" xfId="200" xr:uid="{00000000-0005-0000-0000-0000C50B0000}"/>
    <cellStyle name="Currency 5 2 2 3 10" xfId="4644" xr:uid="{00000000-0005-0000-0000-0000C60B0000}"/>
    <cellStyle name="Currency 5 2 2 3 10 2" xfId="13094" xr:uid="{8E01A349-DF2C-4257-A5F0-1E2824BF04C4}"/>
    <cellStyle name="Currency 5 2 2 3 11" xfId="8876" xr:uid="{25545295-3926-4BC8-A2A4-A652720D0522}"/>
    <cellStyle name="Currency 5 2 2 3 2" xfId="201" xr:uid="{00000000-0005-0000-0000-0000C70B0000}"/>
    <cellStyle name="Currency 5 2 2 3 2 10" xfId="8877" xr:uid="{4338915B-95EF-410B-BAE0-C4107D03B4E6}"/>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2 2 2" xfId="15654" xr:uid="{A49EC83A-1783-4BBB-9D42-CCC8208CAD24}"/>
    <cellStyle name="Currency 5 2 2 3 2 2 2 3" xfId="11436" xr:uid="{EAF0173B-167C-403C-87A8-B0F298892768}"/>
    <cellStyle name="Currency 5 2 2 3 2 2 3" xfId="5059" xr:uid="{00000000-0005-0000-0000-0000CB0B0000}"/>
    <cellStyle name="Currency 5 2 2 3 2 2 3 2" xfId="13509" xr:uid="{98E73CA3-0428-4017-A355-004D6B18A59D}"/>
    <cellStyle name="Currency 5 2 2 3 2 2 4" xfId="9291" xr:uid="{A68439B2-1771-4EDE-A656-DF6F092AB1E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2 2 2" xfId="16067" xr:uid="{8C2A62D0-1212-4F92-8D6B-61B097C9A185}"/>
    <cellStyle name="Currency 5 2 2 3 2 3 2 3" xfId="11849" xr:uid="{5344D18E-292D-4402-BBD1-4F08B5F90A25}"/>
    <cellStyle name="Currency 5 2 2 3 2 3 3" xfId="5472" xr:uid="{00000000-0005-0000-0000-0000CF0B0000}"/>
    <cellStyle name="Currency 5 2 2 3 2 3 3 2" xfId="13922" xr:uid="{3F342197-FA0E-4C4D-A4D9-45D73E8BB869}"/>
    <cellStyle name="Currency 5 2 2 3 2 3 4" xfId="9704" xr:uid="{E309EA07-680A-41F6-A342-B01CE0EE4115}"/>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2 2 2" xfId="16480" xr:uid="{09A28371-16CB-4852-BA29-050EF84582EE}"/>
    <cellStyle name="Currency 5 2 2 3 2 4 2 3" xfId="12262" xr:uid="{E4B14B52-A9BC-49A6-A498-07DFF90F9C5D}"/>
    <cellStyle name="Currency 5 2 2 3 2 4 3" xfId="5885" xr:uid="{00000000-0005-0000-0000-0000D30B0000}"/>
    <cellStyle name="Currency 5 2 2 3 2 4 3 2" xfId="14335" xr:uid="{5A04C55C-3637-4AF1-AC81-FC0FB510BB61}"/>
    <cellStyle name="Currency 5 2 2 3 2 4 4" xfId="10117" xr:uid="{189CEA68-490B-45BD-B2D4-E2825225D7ED}"/>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2 2 2" xfId="16893" xr:uid="{816F9180-AF65-479B-ADC8-308F820885AC}"/>
    <cellStyle name="Currency 5 2 2 3 2 5 2 3" xfId="12675" xr:uid="{B896C296-DCEF-426F-AB5D-BD4B3E1A7868}"/>
    <cellStyle name="Currency 5 2 2 3 2 5 3" xfId="6298" xr:uid="{00000000-0005-0000-0000-0000D70B0000}"/>
    <cellStyle name="Currency 5 2 2 3 2 5 3 2" xfId="14748" xr:uid="{D5445F14-C945-4D8A-8ED9-FEF5A8D605EF}"/>
    <cellStyle name="Currency 5 2 2 3 2 5 4" xfId="10530" xr:uid="{800E259A-7E0A-4215-993D-0FA037DC3685}"/>
    <cellStyle name="Currency 5 2 2 3 2 6" xfId="2427" xr:uid="{00000000-0005-0000-0000-0000D80B0000}"/>
    <cellStyle name="Currency 5 2 2 3 2 6 2" xfId="6711" xr:uid="{00000000-0005-0000-0000-0000D90B0000}"/>
    <cellStyle name="Currency 5 2 2 3 2 6 2 2" xfId="15161" xr:uid="{E07D0E0E-A8DF-44A5-9988-948F07EAABFC}"/>
    <cellStyle name="Currency 5 2 2 3 2 6 3" xfId="10943" xr:uid="{C1CA38BD-5517-44F6-B6A9-3BEA8335CD69}"/>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8 2 2" xfId="15478" xr:uid="{CFF94C3C-5902-430B-A405-7632F048A797}"/>
    <cellStyle name="Currency 5 2 2 3 2 8 3" xfId="11260" xr:uid="{72C35ABA-C345-49A0-AFC8-065EEFD11602}"/>
    <cellStyle name="Currency 5 2 2 3 2 9" xfId="4645" xr:uid="{00000000-0005-0000-0000-0000DD0B0000}"/>
    <cellStyle name="Currency 5 2 2 3 2 9 2" xfId="13095" xr:uid="{E5C94939-1AA9-4E5C-BBE4-6AFEFF32F8B6}"/>
    <cellStyle name="Currency 5 2 2 3 3" xfId="727" xr:uid="{00000000-0005-0000-0000-0000DE0B0000}"/>
    <cellStyle name="Currency 5 2 2 3 3 2" xfId="2981" xr:uid="{00000000-0005-0000-0000-0000DF0B0000}"/>
    <cellStyle name="Currency 5 2 2 3 3 2 2" xfId="7203" xr:uid="{00000000-0005-0000-0000-0000E00B0000}"/>
    <cellStyle name="Currency 5 2 2 3 3 2 2 2" xfId="15653" xr:uid="{0F4694BF-4AD1-42AD-999F-FAEF566E1200}"/>
    <cellStyle name="Currency 5 2 2 3 3 2 3" xfId="11435" xr:uid="{47B37235-1E2B-42B3-B666-BCCF6C506A03}"/>
    <cellStyle name="Currency 5 2 2 3 3 3" xfId="5058" xr:uid="{00000000-0005-0000-0000-0000E10B0000}"/>
    <cellStyle name="Currency 5 2 2 3 3 3 2" xfId="13508" xr:uid="{36C29E52-391A-43B7-AD19-DA7C29F28E70}"/>
    <cellStyle name="Currency 5 2 2 3 3 4" xfId="9290" xr:uid="{65FB850F-8D80-458A-8DB8-531D153FA3A9}"/>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2 2 2" xfId="16066" xr:uid="{771F0016-1265-46BD-9A5B-8D5A95639259}"/>
    <cellStyle name="Currency 5 2 2 3 4 2 3" xfId="11848" xr:uid="{ADFEA393-EEC6-4FD3-8699-660E884C939E}"/>
    <cellStyle name="Currency 5 2 2 3 4 3" xfId="5471" xr:uid="{00000000-0005-0000-0000-0000E50B0000}"/>
    <cellStyle name="Currency 5 2 2 3 4 3 2" xfId="13921" xr:uid="{BE61034F-CD00-47CB-81CC-DD9D6CAB0D31}"/>
    <cellStyle name="Currency 5 2 2 3 4 4" xfId="9703" xr:uid="{D731C410-EAF6-417D-A637-558750EFEA11}"/>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2 2 2" xfId="16479" xr:uid="{C6837CDB-61C0-47B3-A856-D20886CCECA8}"/>
    <cellStyle name="Currency 5 2 2 3 5 2 3" xfId="12261" xr:uid="{6312A0FD-573C-4D84-9798-539F70621741}"/>
    <cellStyle name="Currency 5 2 2 3 5 3" xfId="5884" xr:uid="{00000000-0005-0000-0000-0000E90B0000}"/>
    <cellStyle name="Currency 5 2 2 3 5 3 2" xfId="14334" xr:uid="{9068F475-F3D1-4AD7-B450-2BC3AA39E174}"/>
    <cellStyle name="Currency 5 2 2 3 5 4" xfId="10116" xr:uid="{E365C678-3CA3-419C-A1CC-3BFD9C67D446}"/>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2 2 2" xfId="16892" xr:uid="{D9335C6F-D2DA-441B-842C-25FC3E3E8D40}"/>
    <cellStyle name="Currency 5 2 2 3 6 2 3" xfId="12674" xr:uid="{23934217-B1E0-4B02-AEC0-F3BDFD959130}"/>
    <cellStyle name="Currency 5 2 2 3 6 3" xfId="6297" xr:uid="{00000000-0005-0000-0000-0000ED0B0000}"/>
    <cellStyle name="Currency 5 2 2 3 6 3 2" xfId="14747" xr:uid="{1A61674E-1BDB-47AA-BD4A-CA655A6A01B2}"/>
    <cellStyle name="Currency 5 2 2 3 6 4" xfId="10529" xr:uid="{80014AF1-7832-4A07-8087-31AA4CA0218B}"/>
    <cellStyle name="Currency 5 2 2 3 7" xfId="2426" xr:uid="{00000000-0005-0000-0000-0000EE0B0000}"/>
    <cellStyle name="Currency 5 2 2 3 7 2" xfId="6710" xr:uid="{00000000-0005-0000-0000-0000EF0B0000}"/>
    <cellStyle name="Currency 5 2 2 3 7 2 2" xfId="15160" xr:uid="{DDF5172D-32D9-45E0-B032-56B971E113C6}"/>
    <cellStyle name="Currency 5 2 2 3 7 3" xfId="10942" xr:uid="{05931028-4216-4972-8C94-271EDCC8EC28}"/>
    <cellStyle name="Currency 5 2 2 3 8" xfId="2723" xr:uid="{00000000-0005-0000-0000-0000F00B0000}"/>
    <cellStyle name="Currency 5 2 2 3 9" xfId="2804" xr:uid="{00000000-0005-0000-0000-0000F10B0000}"/>
    <cellStyle name="Currency 5 2 2 3 9 2" xfId="7027" xr:uid="{00000000-0005-0000-0000-0000F20B0000}"/>
    <cellStyle name="Currency 5 2 2 3 9 2 2" xfId="15477" xr:uid="{2E289484-92A1-4B70-BA9F-7B5FB0E3462A}"/>
    <cellStyle name="Currency 5 2 2 3 9 3" xfId="11259" xr:uid="{91C2C0F2-F8F4-42BE-B7BB-CD71BE6B2B76}"/>
    <cellStyle name="Currency 5 2 2 4" xfId="202" xr:uid="{00000000-0005-0000-0000-0000F30B0000}"/>
    <cellStyle name="Currency 5 2 2 4 10" xfId="8878" xr:uid="{81560BED-FA30-4CBB-8605-74260F78BEC4}"/>
    <cellStyle name="Currency 5 2 2 4 2" xfId="729" xr:uid="{00000000-0005-0000-0000-0000F40B0000}"/>
    <cellStyle name="Currency 5 2 2 4 2 2" xfId="2983" xr:uid="{00000000-0005-0000-0000-0000F50B0000}"/>
    <cellStyle name="Currency 5 2 2 4 2 2 2" xfId="7205" xr:uid="{00000000-0005-0000-0000-0000F60B0000}"/>
    <cellStyle name="Currency 5 2 2 4 2 2 2 2" xfId="15655" xr:uid="{8836BB96-ECF6-4BEE-BD05-A2079EE06343}"/>
    <cellStyle name="Currency 5 2 2 4 2 2 3" xfId="11437" xr:uid="{222ACE61-D5AA-4DEE-8028-2BC0104D1501}"/>
    <cellStyle name="Currency 5 2 2 4 2 3" xfId="5060" xr:uid="{00000000-0005-0000-0000-0000F70B0000}"/>
    <cellStyle name="Currency 5 2 2 4 2 3 2" xfId="13510" xr:uid="{0B255A11-00F5-47FF-BF4B-DBEF48513092}"/>
    <cellStyle name="Currency 5 2 2 4 2 4" xfId="9292" xr:uid="{FE3E8196-12FE-4BAC-AF75-781F6C459F3B}"/>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2 2 2" xfId="16068" xr:uid="{2A512E10-E348-49FD-9044-4FD6DF54D156}"/>
    <cellStyle name="Currency 5 2 2 4 3 2 3" xfId="11850" xr:uid="{DB52A1AB-940C-4A0C-9CA0-0FD353572B61}"/>
    <cellStyle name="Currency 5 2 2 4 3 3" xfId="5473" xr:uid="{00000000-0005-0000-0000-0000FB0B0000}"/>
    <cellStyle name="Currency 5 2 2 4 3 3 2" xfId="13923" xr:uid="{196C1CC5-26F3-4DC1-B819-8B40FBD617F4}"/>
    <cellStyle name="Currency 5 2 2 4 3 4" xfId="9705" xr:uid="{0ECA2589-D606-4FDA-BE1B-57C942778DAA}"/>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2 2 2" xfId="16481" xr:uid="{936078EA-D87F-406D-AE9E-C4D8FE67B78F}"/>
    <cellStyle name="Currency 5 2 2 4 4 2 3" xfId="12263" xr:uid="{705BC670-2F6C-4F18-BD83-BA44B5A143FD}"/>
    <cellStyle name="Currency 5 2 2 4 4 3" xfId="5886" xr:uid="{00000000-0005-0000-0000-0000FF0B0000}"/>
    <cellStyle name="Currency 5 2 2 4 4 3 2" xfId="14336" xr:uid="{BB0BF90C-CBD1-4BB3-B293-55E1A2228D3F}"/>
    <cellStyle name="Currency 5 2 2 4 4 4" xfId="10118" xr:uid="{37454045-88C9-40DB-9BAD-0F84B9DB9D4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2 2 2" xfId="16894" xr:uid="{F91C1B7C-BD70-45B9-AFEC-8BEEC138C7D7}"/>
    <cellStyle name="Currency 5 2 2 4 5 2 3" xfId="12676" xr:uid="{193F82B5-A330-404D-BF11-CF3FE5BA2C49}"/>
    <cellStyle name="Currency 5 2 2 4 5 3" xfId="6299" xr:uid="{00000000-0005-0000-0000-0000030C0000}"/>
    <cellStyle name="Currency 5 2 2 4 5 3 2" xfId="14749" xr:uid="{919CBC92-7C2C-4D28-B86B-42408218AF50}"/>
    <cellStyle name="Currency 5 2 2 4 5 4" xfId="10531" xr:uid="{7DC79998-3E4E-4ECB-8241-E98691FC209D}"/>
    <cellStyle name="Currency 5 2 2 4 6" xfId="2428" xr:uid="{00000000-0005-0000-0000-0000040C0000}"/>
    <cellStyle name="Currency 5 2 2 4 6 2" xfId="6712" xr:uid="{00000000-0005-0000-0000-0000050C0000}"/>
    <cellStyle name="Currency 5 2 2 4 6 2 2" xfId="15162" xr:uid="{460B4249-B2E9-4BF4-9018-521233891CD6}"/>
    <cellStyle name="Currency 5 2 2 4 6 3" xfId="10944" xr:uid="{160F4B1C-08ED-4358-8FEA-6BEFF4936003}"/>
    <cellStyle name="Currency 5 2 2 4 7" xfId="2725" xr:uid="{00000000-0005-0000-0000-0000060C0000}"/>
    <cellStyle name="Currency 5 2 2 4 8" xfId="2806" xr:uid="{00000000-0005-0000-0000-0000070C0000}"/>
    <cellStyle name="Currency 5 2 2 4 8 2" xfId="7029" xr:uid="{00000000-0005-0000-0000-0000080C0000}"/>
    <cellStyle name="Currency 5 2 2 4 8 2 2" xfId="15479" xr:uid="{0199FB2E-49CE-44A1-A6EF-D22D0735A9B2}"/>
    <cellStyle name="Currency 5 2 2 4 8 3" xfId="11261" xr:uid="{C27C84D4-236E-4D19-AD49-228DA9530804}"/>
    <cellStyle name="Currency 5 2 2 4 9" xfId="4646" xr:uid="{00000000-0005-0000-0000-0000090C0000}"/>
    <cellStyle name="Currency 5 2 2 4 9 2" xfId="13096" xr:uid="{C680A4B5-504B-42CC-9429-3E6BB2258B00}"/>
    <cellStyle name="Currency 5 2 2 5" xfId="203" xr:uid="{00000000-0005-0000-0000-00000A0C0000}"/>
    <cellStyle name="Currency 5 2 2 5 10" xfId="8879" xr:uid="{C5325ED5-87B9-431C-AE1F-93D8F8DFAD77}"/>
    <cellStyle name="Currency 5 2 2 5 2" xfId="730" xr:uid="{00000000-0005-0000-0000-00000B0C0000}"/>
    <cellStyle name="Currency 5 2 2 5 2 2" xfId="2984" xr:uid="{00000000-0005-0000-0000-00000C0C0000}"/>
    <cellStyle name="Currency 5 2 2 5 2 2 2" xfId="7206" xr:uid="{00000000-0005-0000-0000-00000D0C0000}"/>
    <cellStyle name="Currency 5 2 2 5 2 2 2 2" xfId="15656" xr:uid="{42155615-FCF0-483C-A70E-7593608BB59C}"/>
    <cellStyle name="Currency 5 2 2 5 2 2 3" xfId="11438" xr:uid="{9D298F91-6629-4776-945A-B85FEA0DC195}"/>
    <cellStyle name="Currency 5 2 2 5 2 3" xfId="5061" xr:uid="{00000000-0005-0000-0000-00000E0C0000}"/>
    <cellStyle name="Currency 5 2 2 5 2 3 2" xfId="13511" xr:uid="{1AFFD773-D03E-4C76-A7FB-04EB77C5384C}"/>
    <cellStyle name="Currency 5 2 2 5 2 4" xfId="9293" xr:uid="{2FE79F40-E3AE-4074-80AC-0F9CAD610BED}"/>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2 2 2" xfId="16069" xr:uid="{5FE2CC17-0912-4B1B-98A4-AF4B953D1DE2}"/>
    <cellStyle name="Currency 5 2 2 5 3 2 3" xfId="11851" xr:uid="{1E19B60D-1F83-435E-9D3B-73DB255D0B4E}"/>
    <cellStyle name="Currency 5 2 2 5 3 3" xfId="5474" xr:uid="{00000000-0005-0000-0000-0000120C0000}"/>
    <cellStyle name="Currency 5 2 2 5 3 3 2" xfId="13924" xr:uid="{423C29A1-C0F3-4CB9-8286-DC4105AAA7F9}"/>
    <cellStyle name="Currency 5 2 2 5 3 4" xfId="9706" xr:uid="{692FB8ED-B982-41F9-9289-760457F2B7C8}"/>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2 2 2" xfId="16482" xr:uid="{8D74B70D-EB1D-4DFF-B965-05A680EC3C66}"/>
    <cellStyle name="Currency 5 2 2 5 4 2 3" xfId="12264" xr:uid="{5365C10B-1D8C-44B7-910A-3208E38EFABB}"/>
    <cellStyle name="Currency 5 2 2 5 4 3" xfId="5887" xr:uid="{00000000-0005-0000-0000-0000160C0000}"/>
    <cellStyle name="Currency 5 2 2 5 4 3 2" xfId="14337" xr:uid="{81FD77FA-F74A-47F0-B903-F8F049861E7B}"/>
    <cellStyle name="Currency 5 2 2 5 4 4" xfId="10119" xr:uid="{6EF0A6E8-7E44-414F-9DB4-2C657E5C1507}"/>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2 2 2" xfId="16895" xr:uid="{05C1BCD9-FDDA-487E-AC2D-E4526D96E9AF}"/>
    <cellStyle name="Currency 5 2 2 5 5 2 3" xfId="12677" xr:uid="{1338D461-FB96-4014-AA23-1635BFF50C3E}"/>
    <cellStyle name="Currency 5 2 2 5 5 3" xfId="6300" xr:uid="{00000000-0005-0000-0000-00001A0C0000}"/>
    <cellStyle name="Currency 5 2 2 5 5 3 2" xfId="14750" xr:uid="{B28D35D5-0C1E-4AA1-BED6-12F47CC6162F}"/>
    <cellStyle name="Currency 5 2 2 5 5 4" xfId="10532" xr:uid="{B67DC997-C49D-4071-9937-1753EA375522}"/>
    <cellStyle name="Currency 5 2 2 5 6" xfId="2429" xr:uid="{00000000-0005-0000-0000-00001B0C0000}"/>
    <cellStyle name="Currency 5 2 2 5 6 2" xfId="6713" xr:uid="{00000000-0005-0000-0000-00001C0C0000}"/>
    <cellStyle name="Currency 5 2 2 5 6 2 2" xfId="15163" xr:uid="{CD69A1EC-297F-498B-966A-BB957AA9D3E1}"/>
    <cellStyle name="Currency 5 2 2 5 6 3" xfId="10945" xr:uid="{5592D26D-F393-4532-8A30-9AF95B78078E}"/>
    <cellStyle name="Currency 5 2 2 5 7" xfId="2726" xr:uid="{00000000-0005-0000-0000-00001D0C0000}"/>
    <cellStyle name="Currency 5 2 2 5 8" xfId="2807" xr:uid="{00000000-0005-0000-0000-00001E0C0000}"/>
    <cellStyle name="Currency 5 2 2 5 8 2" xfId="7030" xr:uid="{00000000-0005-0000-0000-00001F0C0000}"/>
    <cellStyle name="Currency 5 2 2 5 8 2 2" xfId="15480" xr:uid="{F50A327B-2BC4-4AAA-951D-7DD85FA2B0CB}"/>
    <cellStyle name="Currency 5 2 2 5 8 3" xfId="11262" xr:uid="{3E26F977-6BBD-4194-86E3-6A7374F5F726}"/>
    <cellStyle name="Currency 5 2 2 5 9" xfId="4647" xr:uid="{00000000-0005-0000-0000-0000200C0000}"/>
    <cellStyle name="Currency 5 2 2 5 9 2" xfId="13097" xr:uid="{EB10435B-39FF-488C-8720-DA8127F073E3}"/>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10 2" xfId="13098" xr:uid="{29D3A47E-D941-4934-BB0E-876210F9C4B0}"/>
    <cellStyle name="Currency 5 2 4 11" xfId="8880" xr:uid="{E007EE88-0ACD-4929-8C39-FCB6D977FDC3}"/>
    <cellStyle name="Currency 5 2 4 2" xfId="206" xr:uid="{00000000-0005-0000-0000-0000250C0000}"/>
    <cellStyle name="Currency 5 2 4 2 10" xfId="8881" xr:uid="{7A1B5824-D2F2-47B3-9B90-CFA22CB1F8B8}"/>
    <cellStyle name="Currency 5 2 4 2 2" xfId="733" xr:uid="{00000000-0005-0000-0000-0000260C0000}"/>
    <cellStyle name="Currency 5 2 4 2 2 2" xfId="2986" xr:uid="{00000000-0005-0000-0000-0000270C0000}"/>
    <cellStyle name="Currency 5 2 4 2 2 2 2" xfId="7208" xr:uid="{00000000-0005-0000-0000-0000280C0000}"/>
    <cellStyle name="Currency 5 2 4 2 2 2 2 2" xfId="15658" xr:uid="{99EE0065-1285-46B1-A5EF-C5E52E31E158}"/>
    <cellStyle name="Currency 5 2 4 2 2 2 3" xfId="11440" xr:uid="{A724660C-A059-47B7-AA92-041FFF1D8394}"/>
    <cellStyle name="Currency 5 2 4 2 2 3" xfId="5063" xr:uid="{00000000-0005-0000-0000-0000290C0000}"/>
    <cellStyle name="Currency 5 2 4 2 2 3 2" xfId="13513" xr:uid="{596CE985-5C3E-49A6-B040-5DD36D529680}"/>
    <cellStyle name="Currency 5 2 4 2 2 4" xfId="9295" xr:uid="{0E52DCC7-751A-4947-A061-D3DE7B7643E9}"/>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2 2 2" xfId="16071" xr:uid="{124AF268-69AA-43EA-8C3F-6D55BC5E5B1A}"/>
    <cellStyle name="Currency 5 2 4 2 3 2 3" xfId="11853" xr:uid="{28B40501-7ACA-4901-B7A8-C46E51627156}"/>
    <cellStyle name="Currency 5 2 4 2 3 3" xfId="5476" xr:uid="{00000000-0005-0000-0000-00002D0C0000}"/>
    <cellStyle name="Currency 5 2 4 2 3 3 2" xfId="13926" xr:uid="{53F8E8F4-F5BD-4AFD-904E-919A801F9316}"/>
    <cellStyle name="Currency 5 2 4 2 3 4" xfId="9708" xr:uid="{7A2E7148-554D-454E-94B9-345C89F4ABA7}"/>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2 2 2" xfId="16484" xr:uid="{EC7D5D89-F132-4353-B500-BC8898FB95C4}"/>
    <cellStyle name="Currency 5 2 4 2 4 2 3" xfId="12266" xr:uid="{EDC52FCF-A4E7-4D02-9A55-FB0FB74E48BB}"/>
    <cellStyle name="Currency 5 2 4 2 4 3" xfId="5889" xr:uid="{00000000-0005-0000-0000-0000310C0000}"/>
    <cellStyle name="Currency 5 2 4 2 4 3 2" xfId="14339" xr:uid="{A75AACBD-F9EE-4A6E-BE09-177C9A18099F}"/>
    <cellStyle name="Currency 5 2 4 2 4 4" xfId="10121" xr:uid="{F9F968C2-772A-4DDD-82A4-49302F6AB5D4}"/>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2 2 2" xfId="16897" xr:uid="{6796C283-EF05-4542-9D07-72F1E3C2E9E0}"/>
    <cellStyle name="Currency 5 2 4 2 5 2 3" xfId="12679" xr:uid="{DEAFFCA3-E2A5-429B-8FE6-48F9FFC896D9}"/>
    <cellStyle name="Currency 5 2 4 2 5 3" xfId="6302" xr:uid="{00000000-0005-0000-0000-0000350C0000}"/>
    <cellStyle name="Currency 5 2 4 2 5 3 2" xfId="14752" xr:uid="{C747DA64-14E5-42FC-978F-70FCB5F8A436}"/>
    <cellStyle name="Currency 5 2 4 2 5 4" xfId="10534" xr:uid="{A549821F-B441-4D56-BA4A-C86659F7E7A5}"/>
    <cellStyle name="Currency 5 2 4 2 6" xfId="2431" xr:uid="{00000000-0005-0000-0000-0000360C0000}"/>
    <cellStyle name="Currency 5 2 4 2 6 2" xfId="6715" xr:uid="{00000000-0005-0000-0000-0000370C0000}"/>
    <cellStyle name="Currency 5 2 4 2 6 2 2" xfId="15165" xr:uid="{FD020BDB-AEAF-414D-8A97-4BFA73AB3BD7}"/>
    <cellStyle name="Currency 5 2 4 2 6 3" xfId="10947" xr:uid="{18084772-0519-4B2A-895A-3E9707A8D191}"/>
    <cellStyle name="Currency 5 2 4 2 7" xfId="2728" xr:uid="{00000000-0005-0000-0000-0000380C0000}"/>
    <cellStyle name="Currency 5 2 4 2 8" xfId="2809" xr:uid="{00000000-0005-0000-0000-0000390C0000}"/>
    <cellStyle name="Currency 5 2 4 2 8 2" xfId="7032" xr:uid="{00000000-0005-0000-0000-00003A0C0000}"/>
    <cellStyle name="Currency 5 2 4 2 8 2 2" xfId="15482" xr:uid="{154BB90A-58B0-476E-9204-7D06FC6D01D5}"/>
    <cellStyle name="Currency 5 2 4 2 8 3" xfId="11264" xr:uid="{F2BC9731-0BEB-447A-A894-A9FD425F4B6B}"/>
    <cellStyle name="Currency 5 2 4 2 9" xfId="4649" xr:uid="{00000000-0005-0000-0000-00003B0C0000}"/>
    <cellStyle name="Currency 5 2 4 2 9 2" xfId="13099" xr:uid="{E228B5FB-9F4A-4959-AC81-3DA36375A466}"/>
    <cellStyle name="Currency 5 2 4 3" xfId="732" xr:uid="{00000000-0005-0000-0000-00003C0C0000}"/>
    <cellStyle name="Currency 5 2 4 3 2" xfId="2985" xr:uid="{00000000-0005-0000-0000-00003D0C0000}"/>
    <cellStyle name="Currency 5 2 4 3 2 2" xfId="7207" xr:uid="{00000000-0005-0000-0000-00003E0C0000}"/>
    <cellStyle name="Currency 5 2 4 3 2 2 2" xfId="15657" xr:uid="{10D0EA5B-53F1-4426-A1BC-83476E7BB81F}"/>
    <cellStyle name="Currency 5 2 4 3 2 3" xfId="11439" xr:uid="{F4666BEB-09AF-4018-911F-11F8094F1D40}"/>
    <cellStyle name="Currency 5 2 4 3 3" xfId="5062" xr:uid="{00000000-0005-0000-0000-00003F0C0000}"/>
    <cellStyle name="Currency 5 2 4 3 3 2" xfId="13512" xr:uid="{7066D33D-4242-4B93-9AC5-63F447F64172}"/>
    <cellStyle name="Currency 5 2 4 3 4" xfId="9294" xr:uid="{D2DF1041-AF50-469B-8C6A-FA0A04F6144E}"/>
    <cellStyle name="Currency 5 2 4 4" xfId="1167" xr:uid="{00000000-0005-0000-0000-0000400C0000}"/>
    <cellStyle name="Currency 5 2 4 4 2" xfId="3398" xr:uid="{00000000-0005-0000-0000-0000410C0000}"/>
    <cellStyle name="Currency 5 2 4 4 2 2" xfId="7620" xr:uid="{00000000-0005-0000-0000-0000420C0000}"/>
    <cellStyle name="Currency 5 2 4 4 2 2 2" xfId="16070" xr:uid="{845012E1-5552-4DEB-9648-D0387A108EF9}"/>
    <cellStyle name="Currency 5 2 4 4 2 3" xfId="11852" xr:uid="{5782D027-5D0A-4E76-8D05-3ADA57585D37}"/>
    <cellStyle name="Currency 5 2 4 4 3" xfId="5475" xr:uid="{00000000-0005-0000-0000-0000430C0000}"/>
    <cellStyle name="Currency 5 2 4 4 3 2" xfId="13925" xr:uid="{D74713B8-CE54-4175-AE2D-59F0937EFD65}"/>
    <cellStyle name="Currency 5 2 4 4 4" xfId="9707" xr:uid="{AEEEC245-003F-4DFB-B50F-C4350F9A76A5}"/>
    <cellStyle name="Currency 5 2 4 5" xfId="1581" xr:uid="{00000000-0005-0000-0000-0000440C0000}"/>
    <cellStyle name="Currency 5 2 4 5 2" xfId="3811" xr:uid="{00000000-0005-0000-0000-0000450C0000}"/>
    <cellStyle name="Currency 5 2 4 5 2 2" xfId="8033" xr:uid="{00000000-0005-0000-0000-0000460C0000}"/>
    <cellStyle name="Currency 5 2 4 5 2 2 2" xfId="16483" xr:uid="{F8EDBFC2-ABE1-4261-A391-AD8E4ABA411C}"/>
    <cellStyle name="Currency 5 2 4 5 2 3" xfId="12265" xr:uid="{7C959C3B-ED39-4D93-8D2A-239E317F76B3}"/>
    <cellStyle name="Currency 5 2 4 5 3" xfId="5888" xr:uid="{00000000-0005-0000-0000-0000470C0000}"/>
    <cellStyle name="Currency 5 2 4 5 3 2" xfId="14338" xr:uid="{FCD90117-6121-4BA3-B2CC-B061799B03CA}"/>
    <cellStyle name="Currency 5 2 4 5 4" xfId="10120" xr:uid="{5D0D8DCD-6325-4673-9985-76C7F068D13F}"/>
    <cellStyle name="Currency 5 2 4 6" xfId="1995" xr:uid="{00000000-0005-0000-0000-0000480C0000}"/>
    <cellStyle name="Currency 5 2 4 6 2" xfId="4224" xr:uid="{00000000-0005-0000-0000-0000490C0000}"/>
    <cellStyle name="Currency 5 2 4 6 2 2" xfId="8446" xr:uid="{00000000-0005-0000-0000-00004A0C0000}"/>
    <cellStyle name="Currency 5 2 4 6 2 2 2" xfId="16896" xr:uid="{FDDABD2A-EE71-4F3B-B710-63A9EE9598D0}"/>
    <cellStyle name="Currency 5 2 4 6 2 3" xfId="12678" xr:uid="{02EEDF51-01A2-4311-8C0D-1912F9CE05F8}"/>
    <cellStyle name="Currency 5 2 4 6 3" xfId="6301" xr:uid="{00000000-0005-0000-0000-00004B0C0000}"/>
    <cellStyle name="Currency 5 2 4 6 3 2" xfId="14751" xr:uid="{98098CDE-AF57-4D4E-85AD-8B362B923327}"/>
    <cellStyle name="Currency 5 2 4 6 4" xfId="10533" xr:uid="{FA6395DA-6B09-44F8-9A59-3544687908E7}"/>
    <cellStyle name="Currency 5 2 4 7" xfId="2430" xr:uid="{00000000-0005-0000-0000-00004C0C0000}"/>
    <cellStyle name="Currency 5 2 4 7 2" xfId="6714" xr:uid="{00000000-0005-0000-0000-00004D0C0000}"/>
    <cellStyle name="Currency 5 2 4 7 2 2" xfId="15164" xr:uid="{413F1A59-FF5B-4802-B4F9-297B51F82DDE}"/>
    <cellStyle name="Currency 5 2 4 7 3" xfId="10946" xr:uid="{05115223-4805-4FA8-8E31-5F0B6FE62ACF}"/>
    <cellStyle name="Currency 5 2 4 8" xfId="2727" xr:uid="{00000000-0005-0000-0000-00004E0C0000}"/>
    <cellStyle name="Currency 5 2 4 9" xfId="2808" xr:uid="{00000000-0005-0000-0000-00004F0C0000}"/>
    <cellStyle name="Currency 5 2 4 9 2" xfId="7031" xr:uid="{00000000-0005-0000-0000-0000500C0000}"/>
    <cellStyle name="Currency 5 2 4 9 2 2" xfId="15481" xr:uid="{71D009B3-BB0B-4C87-9733-ADD84B877C40}"/>
    <cellStyle name="Currency 5 2 4 9 3" xfId="11263" xr:uid="{935BA2DF-7803-4A21-8DF6-5E8CED7FC470}"/>
    <cellStyle name="Currency 5 2 5" xfId="207" xr:uid="{00000000-0005-0000-0000-0000510C0000}"/>
    <cellStyle name="Currency 5 2 5 10" xfId="8882" xr:uid="{FAC6D9F1-CF99-4D76-84A6-A7648AD88A6F}"/>
    <cellStyle name="Currency 5 2 5 2" xfId="734" xr:uid="{00000000-0005-0000-0000-0000520C0000}"/>
    <cellStyle name="Currency 5 2 5 2 2" xfId="2987" xr:uid="{00000000-0005-0000-0000-0000530C0000}"/>
    <cellStyle name="Currency 5 2 5 2 2 2" xfId="7209" xr:uid="{00000000-0005-0000-0000-0000540C0000}"/>
    <cellStyle name="Currency 5 2 5 2 2 2 2" xfId="15659" xr:uid="{A243F82C-CFAD-4208-B571-96C85E3308A7}"/>
    <cellStyle name="Currency 5 2 5 2 2 3" xfId="11441" xr:uid="{C5C497A0-F04B-4AE5-BC07-EA3D74FEBC6C}"/>
    <cellStyle name="Currency 5 2 5 2 3" xfId="5064" xr:uid="{00000000-0005-0000-0000-0000550C0000}"/>
    <cellStyle name="Currency 5 2 5 2 3 2" xfId="13514" xr:uid="{A5FC69AE-E621-4708-984E-E3FFB579952D}"/>
    <cellStyle name="Currency 5 2 5 2 4" xfId="9296" xr:uid="{47E3C896-B48F-4F19-AD05-494AD57E8896}"/>
    <cellStyle name="Currency 5 2 5 3" xfId="1169" xr:uid="{00000000-0005-0000-0000-0000560C0000}"/>
    <cellStyle name="Currency 5 2 5 3 2" xfId="3400" xr:uid="{00000000-0005-0000-0000-0000570C0000}"/>
    <cellStyle name="Currency 5 2 5 3 2 2" xfId="7622" xr:uid="{00000000-0005-0000-0000-0000580C0000}"/>
    <cellStyle name="Currency 5 2 5 3 2 2 2" xfId="16072" xr:uid="{F412EA83-EBDB-4AED-A9E3-EF9341D56BA3}"/>
    <cellStyle name="Currency 5 2 5 3 2 3" xfId="11854" xr:uid="{94E45452-6AD4-4111-BD3E-ED60ACAC1B0F}"/>
    <cellStyle name="Currency 5 2 5 3 3" xfId="5477" xr:uid="{00000000-0005-0000-0000-0000590C0000}"/>
    <cellStyle name="Currency 5 2 5 3 3 2" xfId="13927" xr:uid="{E6888F5F-975D-4205-B28E-08B9F1D01F9B}"/>
    <cellStyle name="Currency 5 2 5 3 4" xfId="9709" xr:uid="{88486439-41B2-45F1-BCA7-3627598FCE61}"/>
    <cellStyle name="Currency 5 2 5 4" xfId="1583" xr:uid="{00000000-0005-0000-0000-00005A0C0000}"/>
    <cellStyle name="Currency 5 2 5 4 2" xfId="3813" xr:uid="{00000000-0005-0000-0000-00005B0C0000}"/>
    <cellStyle name="Currency 5 2 5 4 2 2" xfId="8035" xr:uid="{00000000-0005-0000-0000-00005C0C0000}"/>
    <cellStyle name="Currency 5 2 5 4 2 2 2" xfId="16485" xr:uid="{F8883190-858B-406D-89D1-509058DAF11E}"/>
    <cellStyle name="Currency 5 2 5 4 2 3" xfId="12267" xr:uid="{2EACAD5B-E333-4418-B46F-A8C26151CA7B}"/>
    <cellStyle name="Currency 5 2 5 4 3" xfId="5890" xr:uid="{00000000-0005-0000-0000-00005D0C0000}"/>
    <cellStyle name="Currency 5 2 5 4 3 2" xfId="14340" xr:uid="{FD97CEEE-4747-44A9-87E8-FF06FB582791}"/>
    <cellStyle name="Currency 5 2 5 4 4" xfId="10122" xr:uid="{A342D322-C649-4BAF-932E-8652D826EF6A}"/>
    <cellStyle name="Currency 5 2 5 5" xfId="1997" xr:uid="{00000000-0005-0000-0000-00005E0C0000}"/>
    <cellStyle name="Currency 5 2 5 5 2" xfId="4226" xr:uid="{00000000-0005-0000-0000-00005F0C0000}"/>
    <cellStyle name="Currency 5 2 5 5 2 2" xfId="8448" xr:uid="{00000000-0005-0000-0000-0000600C0000}"/>
    <cellStyle name="Currency 5 2 5 5 2 2 2" xfId="16898" xr:uid="{14703427-3A5D-4CC8-A87D-24678493DD9F}"/>
    <cellStyle name="Currency 5 2 5 5 2 3" xfId="12680" xr:uid="{CA29210A-2F6D-46A9-9E2D-528C30A3DAEE}"/>
    <cellStyle name="Currency 5 2 5 5 3" xfId="6303" xr:uid="{00000000-0005-0000-0000-0000610C0000}"/>
    <cellStyle name="Currency 5 2 5 5 3 2" xfId="14753" xr:uid="{5FF6FD5B-23E8-4FFE-AB6A-749D60D15D40}"/>
    <cellStyle name="Currency 5 2 5 5 4" xfId="10535" xr:uid="{0E0179B6-ED41-42CA-8120-CBC2DF82E814}"/>
    <cellStyle name="Currency 5 2 5 6" xfId="2432" xr:uid="{00000000-0005-0000-0000-0000620C0000}"/>
    <cellStyle name="Currency 5 2 5 6 2" xfId="6716" xr:uid="{00000000-0005-0000-0000-0000630C0000}"/>
    <cellStyle name="Currency 5 2 5 6 2 2" xfId="15166" xr:uid="{0FE851DC-D17A-44FC-8A6E-DDD041EC5C7B}"/>
    <cellStyle name="Currency 5 2 5 6 3" xfId="10948" xr:uid="{BCEE4F20-B589-4BE3-BD5D-08EF5377F2AD}"/>
    <cellStyle name="Currency 5 2 5 7" xfId="2729" xr:uid="{00000000-0005-0000-0000-0000640C0000}"/>
    <cellStyle name="Currency 5 2 5 8" xfId="2810" xr:uid="{00000000-0005-0000-0000-0000650C0000}"/>
    <cellStyle name="Currency 5 2 5 8 2" xfId="7033" xr:uid="{00000000-0005-0000-0000-0000660C0000}"/>
    <cellStyle name="Currency 5 2 5 8 2 2" xfId="15483" xr:uid="{09F27218-5ED8-4F06-AA6A-C0C62A2BD3DC}"/>
    <cellStyle name="Currency 5 2 5 8 3" xfId="11265" xr:uid="{E0ADB6A8-30B9-4C22-8746-C7CE417ADEA6}"/>
    <cellStyle name="Currency 5 2 5 9" xfId="4650" xr:uid="{00000000-0005-0000-0000-0000670C0000}"/>
    <cellStyle name="Currency 5 2 5 9 2" xfId="13100" xr:uid="{3256BB12-F2D9-4510-AEBA-D7F53316CFAA}"/>
    <cellStyle name="Currency 5 2 6" xfId="208" xr:uid="{00000000-0005-0000-0000-0000680C0000}"/>
    <cellStyle name="Currency 5 2 6 10" xfId="8883" xr:uid="{7753AA44-06A0-4D20-BC20-D1A89ED69C3F}"/>
    <cellStyle name="Currency 5 2 6 2" xfId="735" xr:uid="{00000000-0005-0000-0000-0000690C0000}"/>
    <cellStyle name="Currency 5 2 6 2 2" xfId="2988" xr:uid="{00000000-0005-0000-0000-00006A0C0000}"/>
    <cellStyle name="Currency 5 2 6 2 2 2" xfId="7210" xr:uid="{00000000-0005-0000-0000-00006B0C0000}"/>
    <cellStyle name="Currency 5 2 6 2 2 2 2" xfId="15660" xr:uid="{EF235413-CB15-4915-AFDA-BB03FACA02ED}"/>
    <cellStyle name="Currency 5 2 6 2 2 3" xfId="11442" xr:uid="{D89A6061-1996-46B8-98CA-465BA584FEE2}"/>
    <cellStyle name="Currency 5 2 6 2 3" xfId="5065" xr:uid="{00000000-0005-0000-0000-00006C0C0000}"/>
    <cellStyle name="Currency 5 2 6 2 3 2" xfId="13515" xr:uid="{0EC14497-7797-411B-A4E4-12E834579D00}"/>
    <cellStyle name="Currency 5 2 6 2 4" xfId="9297" xr:uid="{B01A4FA7-CA1E-49A4-B9D2-B289CD260617}"/>
    <cellStyle name="Currency 5 2 6 3" xfId="1170" xr:uid="{00000000-0005-0000-0000-00006D0C0000}"/>
    <cellStyle name="Currency 5 2 6 3 2" xfId="3401" xr:uid="{00000000-0005-0000-0000-00006E0C0000}"/>
    <cellStyle name="Currency 5 2 6 3 2 2" xfId="7623" xr:uid="{00000000-0005-0000-0000-00006F0C0000}"/>
    <cellStyle name="Currency 5 2 6 3 2 2 2" xfId="16073" xr:uid="{F88666CC-EF32-486E-8276-D7E89D37A66B}"/>
    <cellStyle name="Currency 5 2 6 3 2 3" xfId="11855" xr:uid="{F1D39D7D-609B-42C2-A871-BEB1D909BF92}"/>
    <cellStyle name="Currency 5 2 6 3 3" xfId="5478" xr:uid="{00000000-0005-0000-0000-0000700C0000}"/>
    <cellStyle name="Currency 5 2 6 3 3 2" xfId="13928" xr:uid="{20DFDC2B-FC81-4C0E-B3A8-87592C76B75D}"/>
    <cellStyle name="Currency 5 2 6 3 4" xfId="9710" xr:uid="{53244C1F-86C7-4ADF-990B-759A9C67A3B6}"/>
    <cellStyle name="Currency 5 2 6 4" xfId="1584" xr:uid="{00000000-0005-0000-0000-0000710C0000}"/>
    <cellStyle name="Currency 5 2 6 4 2" xfId="3814" xr:uid="{00000000-0005-0000-0000-0000720C0000}"/>
    <cellStyle name="Currency 5 2 6 4 2 2" xfId="8036" xr:uid="{00000000-0005-0000-0000-0000730C0000}"/>
    <cellStyle name="Currency 5 2 6 4 2 2 2" xfId="16486" xr:uid="{79D2677F-FF35-495E-8599-F69E434C5F7F}"/>
    <cellStyle name="Currency 5 2 6 4 2 3" xfId="12268" xr:uid="{5C23BC6A-E25F-48F0-8BF7-8DED2B778FDE}"/>
    <cellStyle name="Currency 5 2 6 4 3" xfId="5891" xr:uid="{00000000-0005-0000-0000-0000740C0000}"/>
    <cellStyle name="Currency 5 2 6 4 3 2" xfId="14341" xr:uid="{F97491DF-D340-4916-B33C-1535B7E81653}"/>
    <cellStyle name="Currency 5 2 6 4 4" xfId="10123" xr:uid="{A91A5B26-4364-426D-ADCE-D19B47AE003E}"/>
    <cellStyle name="Currency 5 2 6 5" xfId="1998" xr:uid="{00000000-0005-0000-0000-0000750C0000}"/>
    <cellStyle name="Currency 5 2 6 5 2" xfId="4227" xr:uid="{00000000-0005-0000-0000-0000760C0000}"/>
    <cellStyle name="Currency 5 2 6 5 2 2" xfId="8449" xr:uid="{00000000-0005-0000-0000-0000770C0000}"/>
    <cellStyle name="Currency 5 2 6 5 2 2 2" xfId="16899" xr:uid="{8AAEFCE1-B8B6-4257-8BE8-ED8AABF70900}"/>
    <cellStyle name="Currency 5 2 6 5 2 3" xfId="12681" xr:uid="{028485A4-41C0-4DE1-978D-2CD9A50C659A}"/>
    <cellStyle name="Currency 5 2 6 5 3" xfId="6304" xr:uid="{00000000-0005-0000-0000-0000780C0000}"/>
    <cellStyle name="Currency 5 2 6 5 3 2" xfId="14754" xr:uid="{EDC614C9-0E88-47D7-98C7-31D0BEF3C8A0}"/>
    <cellStyle name="Currency 5 2 6 5 4" xfId="10536" xr:uid="{50E2EC93-11DB-4CC0-A106-87EB368BD0F2}"/>
    <cellStyle name="Currency 5 2 6 6" xfId="2433" xr:uid="{00000000-0005-0000-0000-0000790C0000}"/>
    <cellStyle name="Currency 5 2 6 6 2" xfId="6717" xr:uid="{00000000-0005-0000-0000-00007A0C0000}"/>
    <cellStyle name="Currency 5 2 6 6 2 2" xfId="15167" xr:uid="{C8327A1C-CAF1-43D8-B912-45000A016C90}"/>
    <cellStyle name="Currency 5 2 6 6 3" xfId="10949" xr:uid="{BF269869-D317-4C75-8B82-00F5101E8376}"/>
    <cellStyle name="Currency 5 2 6 7" xfId="2730" xr:uid="{00000000-0005-0000-0000-00007B0C0000}"/>
    <cellStyle name="Currency 5 2 6 8" xfId="2811" xr:uid="{00000000-0005-0000-0000-00007C0C0000}"/>
    <cellStyle name="Currency 5 2 6 8 2" xfId="7034" xr:uid="{00000000-0005-0000-0000-00007D0C0000}"/>
    <cellStyle name="Currency 5 2 6 8 2 2" xfId="15484" xr:uid="{3C784164-BCE1-4786-B6D5-30AC16CA3C0B}"/>
    <cellStyle name="Currency 5 2 6 8 3" xfId="11266" xr:uid="{4A845DF1-45DA-46FC-8659-946630C31B56}"/>
    <cellStyle name="Currency 5 2 6 9" xfId="4651" xr:uid="{00000000-0005-0000-0000-00007E0C0000}"/>
    <cellStyle name="Currency 5 2 6 9 2" xfId="13101" xr:uid="{93200895-E646-45C6-9437-C6E0FF8A6C57}"/>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0 2 2" xfId="15485" xr:uid="{58AF8D5A-F916-4F6F-8EB1-2205253DD0D1}"/>
    <cellStyle name="Currency 5 3 2 10 3" xfId="11267" xr:uid="{D8D63507-5DEC-43B2-AB77-FB2D849366F4}"/>
    <cellStyle name="Currency 5 3 2 11" xfId="4652" xr:uid="{00000000-0005-0000-0000-0000840C0000}"/>
    <cellStyle name="Currency 5 3 2 11 2" xfId="13102" xr:uid="{04954C06-4301-479C-8A96-DB4EF53A66C1}"/>
    <cellStyle name="Currency 5 3 2 12" xfId="8884" xr:uid="{A94CF585-C944-422C-93E2-B29923DADF56}"/>
    <cellStyle name="Currency 5 3 2 2" xfId="211" xr:uid="{00000000-0005-0000-0000-0000850C0000}"/>
    <cellStyle name="Currency 5 3 2 2 10" xfId="4653" xr:uid="{00000000-0005-0000-0000-0000860C0000}"/>
    <cellStyle name="Currency 5 3 2 2 10 2" xfId="13103" xr:uid="{96B4E1F7-A091-4191-B2A9-FD5D5997C5A6}"/>
    <cellStyle name="Currency 5 3 2 2 11" xfId="8885" xr:uid="{33390884-7FAA-4D36-8B5B-50F0D4BD88A7}"/>
    <cellStyle name="Currency 5 3 2 2 2" xfId="212" xr:uid="{00000000-0005-0000-0000-0000870C0000}"/>
    <cellStyle name="Currency 5 3 2 2 2 10" xfId="8886" xr:uid="{5C347FC4-66A7-422A-B31B-D2EB1E7482B9}"/>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2 2 2" xfId="15663" xr:uid="{1912984D-BEEE-463F-BA39-663C7A6C7427}"/>
    <cellStyle name="Currency 5 3 2 2 2 2 2 3" xfId="11445" xr:uid="{3A1204B8-BFC8-4BB4-B6F3-FF4DAF2F2FA6}"/>
    <cellStyle name="Currency 5 3 2 2 2 2 3" xfId="5068" xr:uid="{00000000-0005-0000-0000-00008B0C0000}"/>
    <cellStyle name="Currency 5 3 2 2 2 2 3 2" xfId="13518" xr:uid="{9D2C335B-0AB4-4628-AABC-610493451874}"/>
    <cellStyle name="Currency 5 3 2 2 2 2 4" xfId="9300" xr:uid="{DD067607-00EF-4734-9A2F-9E8E8D35DFE2}"/>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2 2 2" xfId="16076" xr:uid="{05E22360-CE71-4BF6-B266-A52616E2C0FC}"/>
    <cellStyle name="Currency 5 3 2 2 2 3 2 3" xfId="11858" xr:uid="{4AB778E0-6F23-42A7-8446-FE9E25233849}"/>
    <cellStyle name="Currency 5 3 2 2 2 3 3" xfId="5481" xr:uid="{00000000-0005-0000-0000-00008F0C0000}"/>
    <cellStyle name="Currency 5 3 2 2 2 3 3 2" xfId="13931" xr:uid="{E3B6FA52-E004-4118-828D-D8D9BC8F97A1}"/>
    <cellStyle name="Currency 5 3 2 2 2 3 4" xfId="9713" xr:uid="{DE670708-7005-465F-9020-AA1D310D1F0C}"/>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2 2 2" xfId="16489" xr:uid="{E59A02D5-8C05-4B55-A08E-59637E413684}"/>
    <cellStyle name="Currency 5 3 2 2 2 4 2 3" xfId="12271" xr:uid="{23D06EB7-BA3B-43C9-B94B-5C7B15D7E4F2}"/>
    <cellStyle name="Currency 5 3 2 2 2 4 3" xfId="5894" xr:uid="{00000000-0005-0000-0000-0000930C0000}"/>
    <cellStyle name="Currency 5 3 2 2 2 4 3 2" xfId="14344" xr:uid="{FBBDF392-EBA9-49E9-B286-80FED41C8C06}"/>
    <cellStyle name="Currency 5 3 2 2 2 4 4" xfId="10126" xr:uid="{7A67D750-E898-4B9D-983F-7FCF33784B87}"/>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2 2 2" xfId="16902" xr:uid="{E59093C1-7737-465E-8BE5-6C3F5DF73022}"/>
    <cellStyle name="Currency 5 3 2 2 2 5 2 3" xfId="12684" xr:uid="{8FEF75E7-521F-493C-B89D-2272146119FD}"/>
    <cellStyle name="Currency 5 3 2 2 2 5 3" xfId="6307" xr:uid="{00000000-0005-0000-0000-0000970C0000}"/>
    <cellStyle name="Currency 5 3 2 2 2 5 3 2" xfId="14757" xr:uid="{F428A11C-4514-4732-A5CE-2AE4908E83A5}"/>
    <cellStyle name="Currency 5 3 2 2 2 5 4" xfId="10539" xr:uid="{97818443-11D5-497D-A659-9787D66E56A3}"/>
    <cellStyle name="Currency 5 3 2 2 2 6" xfId="2436" xr:uid="{00000000-0005-0000-0000-0000980C0000}"/>
    <cellStyle name="Currency 5 3 2 2 2 6 2" xfId="6720" xr:uid="{00000000-0005-0000-0000-0000990C0000}"/>
    <cellStyle name="Currency 5 3 2 2 2 6 2 2" xfId="15170" xr:uid="{AE3AFC1D-A9C6-49F6-804A-CF7BEA06D47D}"/>
    <cellStyle name="Currency 5 3 2 2 2 6 3" xfId="10952" xr:uid="{236B6126-AEF7-4759-A5B0-CAAF382A9223}"/>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8 2 2" xfId="15487" xr:uid="{49C75F96-EDE1-4765-83C5-ADECC5792503}"/>
    <cellStyle name="Currency 5 3 2 2 2 8 3" xfId="11269" xr:uid="{61D00708-FAD0-406A-8C5E-8FCE51160D1C}"/>
    <cellStyle name="Currency 5 3 2 2 2 9" xfId="4654" xr:uid="{00000000-0005-0000-0000-00009D0C0000}"/>
    <cellStyle name="Currency 5 3 2 2 2 9 2" xfId="13104" xr:uid="{CBAA2B07-A1C5-4AC0-93EE-AB1D0BE0B84B}"/>
    <cellStyle name="Currency 5 3 2 2 3" xfId="737" xr:uid="{00000000-0005-0000-0000-00009E0C0000}"/>
    <cellStyle name="Currency 5 3 2 2 3 2" xfId="2990" xr:uid="{00000000-0005-0000-0000-00009F0C0000}"/>
    <cellStyle name="Currency 5 3 2 2 3 2 2" xfId="7212" xr:uid="{00000000-0005-0000-0000-0000A00C0000}"/>
    <cellStyle name="Currency 5 3 2 2 3 2 2 2" xfId="15662" xr:uid="{4EB40656-6E13-41D0-8316-32A2217EC3B3}"/>
    <cellStyle name="Currency 5 3 2 2 3 2 3" xfId="11444" xr:uid="{39310519-B3D9-4AC7-8E7B-3173213FE5C7}"/>
    <cellStyle name="Currency 5 3 2 2 3 3" xfId="5067" xr:uid="{00000000-0005-0000-0000-0000A10C0000}"/>
    <cellStyle name="Currency 5 3 2 2 3 3 2" xfId="13517" xr:uid="{0645F555-54CB-4928-B86A-72A61CE90D68}"/>
    <cellStyle name="Currency 5 3 2 2 3 4" xfId="9299" xr:uid="{BBE51002-7B7D-4638-BCE8-BBC8B0099D3A}"/>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2 2 2" xfId="16075" xr:uid="{CDCA1BBA-900D-434A-8763-32973CD588FB}"/>
    <cellStyle name="Currency 5 3 2 2 4 2 3" xfId="11857" xr:uid="{2F352A8D-282B-4D19-B4F4-BFC4664B4406}"/>
    <cellStyle name="Currency 5 3 2 2 4 3" xfId="5480" xr:uid="{00000000-0005-0000-0000-0000A50C0000}"/>
    <cellStyle name="Currency 5 3 2 2 4 3 2" xfId="13930" xr:uid="{FFEBAA9B-C5A0-49EF-A30F-28A721065907}"/>
    <cellStyle name="Currency 5 3 2 2 4 4" xfId="9712" xr:uid="{1BAC352D-0B9F-401F-8492-2D945F4C82C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2 2 2" xfId="16488" xr:uid="{BB2E569F-8F51-4803-9521-5D6B9628B66F}"/>
    <cellStyle name="Currency 5 3 2 2 5 2 3" xfId="12270" xr:uid="{4D333267-9EC6-4101-94EC-1E7311F9B3AE}"/>
    <cellStyle name="Currency 5 3 2 2 5 3" xfId="5893" xr:uid="{00000000-0005-0000-0000-0000A90C0000}"/>
    <cellStyle name="Currency 5 3 2 2 5 3 2" xfId="14343" xr:uid="{0C79CCE7-4284-4151-95C3-755A33C4AF10}"/>
    <cellStyle name="Currency 5 3 2 2 5 4" xfId="10125" xr:uid="{466C8CF4-88EA-49E5-B65D-F9B1B6EF8269}"/>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2 2 2" xfId="16901" xr:uid="{0B34EE07-F75C-44BC-9CB8-2C3A51991441}"/>
    <cellStyle name="Currency 5 3 2 2 6 2 3" xfId="12683" xr:uid="{2CA75327-6741-4316-9A57-71A2736F280A}"/>
    <cellStyle name="Currency 5 3 2 2 6 3" xfId="6306" xr:uid="{00000000-0005-0000-0000-0000AD0C0000}"/>
    <cellStyle name="Currency 5 3 2 2 6 3 2" xfId="14756" xr:uid="{B0B61486-FBD0-4017-9B8E-7A84A601120B}"/>
    <cellStyle name="Currency 5 3 2 2 6 4" xfId="10538" xr:uid="{57FC4C34-C7A3-4BD8-AAAC-08FEBD3ECF79}"/>
    <cellStyle name="Currency 5 3 2 2 7" xfId="2435" xr:uid="{00000000-0005-0000-0000-0000AE0C0000}"/>
    <cellStyle name="Currency 5 3 2 2 7 2" xfId="6719" xr:uid="{00000000-0005-0000-0000-0000AF0C0000}"/>
    <cellStyle name="Currency 5 3 2 2 7 2 2" xfId="15169" xr:uid="{044DFAC1-A182-4442-A0DE-38E398E93A20}"/>
    <cellStyle name="Currency 5 3 2 2 7 3" xfId="10951" xr:uid="{D90BBB02-A912-4585-B5C5-B31A7BC8D4F9}"/>
    <cellStyle name="Currency 5 3 2 2 8" xfId="2732" xr:uid="{00000000-0005-0000-0000-0000B00C0000}"/>
    <cellStyle name="Currency 5 3 2 2 9" xfId="2813" xr:uid="{00000000-0005-0000-0000-0000B10C0000}"/>
    <cellStyle name="Currency 5 3 2 2 9 2" xfId="7036" xr:uid="{00000000-0005-0000-0000-0000B20C0000}"/>
    <cellStyle name="Currency 5 3 2 2 9 2 2" xfId="15486" xr:uid="{E3C5CA53-5E18-4FF9-9DAF-400A5AEDE9B2}"/>
    <cellStyle name="Currency 5 3 2 2 9 3" xfId="11268" xr:uid="{CF77F9C4-5645-4350-90FC-7FF9EC24A9A9}"/>
    <cellStyle name="Currency 5 3 2 3" xfId="213" xr:uid="{00000000-0005-0000-0000-0000B30C0000}"/>
    <cellStyle name="Currency 5 3 2 3 10" xfId="8887" xr:uid="{B3ABDF76-DFC6-4C73-850F-BB062585B1B7}"/>
    <cellStyle name="Currency 5 3 2 3 2" xfId="739" xr:uid="{00000000-0005-0000-0000-0000B40C0000}"/>
    <cellStyle name="Currency 5 3 2 3 2 2" xfId="2992" xr:uid="{00000000-0005-0000-0000-0000B50C0000}"/>
    <cellStyle name="Currency 5 3 2 3 2 2 2" xfId="7214" xr:uid="{00000000-0005-0000-0000-0000B60C0000}"/>
    <cellStyle name="Currency 5 3 2 3 2 2 2 2" xfId="15664" xr:uid="{05792312-9A20-4914-905C-7ED7ACC86DB8}"/>
    <cellStyle name="Currency 5 3 2 3 2 2 3" xfId="11446" xr:uid="{63C1B109-3D42-4D10-B765-82EFAF26C9FC}"/>
    <cellStyle name="Currency 5 3 2 3 2 3" xfId="5069" xr:uid="{00000000-0005-0000-0000-0000B70C0000}"/>
    <cellStyle name="Currency 5 3 2 3 2 3 2" xfId="13519" xr:uid="{DA29B8A0-D3B7-44E0-8380-D9B9DB279246}"/>
    <cellStyle name="Currency 5 3 2 3 2 4" xfId="9301" xr:uid="{DD2D2E5E-DBF7-4E90-9AB9-18C48BD380E5}"/>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2 2 2" xfId="16077" xr:uid="{3980F84F-DEEA-4662-B2E1-A2445AD1560A}"/>
    <cellStyle name="Currency 5 3 2 3 3 2 3" xfId="11859" xr:uid="{CF9E57D2-0223-45C7-9D54-025B4C7C868D}"/>
    <cellStyle name="Currency 5 3 2 3 3 3" xfId="5482" xr:uid="{00000000-0005-0000-0000-0000BB0C0000}"/>
    <cellStyle name="Currency 5 3 2 3 3 3 2" xfId="13932" xr:uid="{98ACE122-27D2-4B32-947E-2CE1125A9F7C}"/>
    <cellStyle name="Currency 5 3 2 3 3 4" xfId="9714" xr:uid="{0352C265-B3D4-4053-8A76-B5045F263FFE}"/>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2 2 2" xfId="16490" xr:uid="{A23F40A6-E4AA-4E19-88C6-38D3C59B692E}"/>
    <cellStyle name="Currency 5 3 2 3 4 2 3" xfId="12272" xr:uid="{3B44FCD6-AD97-417D-930B-B69F361B4CBF}"/>
    <cellStyle name="Currency 5 3 2 3 4 3" xfId="5895" xr:uid="{00000000-0005-0000-0000-0000BF0C0000}"/>
    <cellStyle name="Currency 5 3 2 3 4 3 2" xfId="14345" xr:uid="{08D08DB6-C469-4353-8F6A-228F8D2AD92D}"/>
    <cellStyle name="Currency 5 3 2 3 4 4" xfId="10127" xr:uid="{C3AFED61-F1CA-49C9-9C1B-D6F8334E405B}"/>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2 2 2" xfId="16903" xr:uid="{77F65B4B-676F-4B3E-AADC-57C87866BF93}"/>
    <cellStyle name="Currency 5 3 2 3 5 2 3" xfId="12685" xr:uid="{AAB15568-6DD5-4C86-8A89-6A8E49AD7E74}"/>
    <cellStyle name="Currency 5 3 2 3 5 3" xfId="6308" xr:uid="{00000000-0005-0000-0000-0000C30C0000}"/>
    <cellStyle name="Currency 5 3 2 3 5 3 2" xfId="14758" xr:uid="{21F00F1E-39B5-43F6-B68F-92E584FD39C0}"/>
    <cellStyle name="Currency 5 3 2 3 5 4" xfId="10540" xr:uid="{9B3D08A3-D59B-4DDC-80C0-4B05DC2C6F39}"/>
    <cellStyle name="Currency 5 3 2 3 6" xfId="2437" xr:uid="{00000000-0005-0000-0000-0000C40C0000}"/>
    <cellStyle name="Currency 5 3 2 3 6 2" xfId="6721" xr:uid="{00000000-0005-0000-0000-0000C50C0000}"/>
    <cellStyle name="Currency 5 3 2 3 6 2 2" xfId="15171" xr:uid="{84E88F93-52A5-4537-83D5-720B728B9C11}"/>
    <cellStyle name="Currency 5 3 2 3 6 3" xfId="10953" xr:uid="{DE255C00-7F24-4D7D-A0A7-A38121E6B547}"/>
    <cellStyle name="Currency 5 3 2 3 7" xfId="2734" xr:uid="{00000000-0005-0000-0000-0000C60C0000}"/>
    <cellStyle name="Currency 5 3 2 3 8" xfId="2815" xr:uid="{00000000-0005-0000-0000-0000C70C0000}"/>
    <cellStyle name="Currency 5 3 2 3 8 2" xfId="7038" xr:uid="{00000000-0005-0000-0000-0000C80C0000}"/>
    <cellStyle name="Currency 5 3 2 3 8 2 2" xfId="15488" xr:uid="{35A125F1-53E0-4D6C-A43F-E63E7229DFE2}"/>
    <cellStyle name="Currency 5 3 2 3 8 3" xfId="11270" xr:uid="{39C9D02A-855E-43AF-98E8-65B5B7335142}"/>
    <cellStyle name="Currency 5 3 2 3 9" xfId="4655" xr:uid="{00000000-0005-0000-0000-0000C90C0000}"/>
    <cellStyle name="Currency 5 3 2 3 9 2" xfId="13105" xr:uid="{0E9E9B14-AF58-47F2-A00C-FCD624F505CD}"/>
    <cellStyle name="Currency 5 3 2 4" xfId="736" xr:uid="{00000000-0005-0000-0000-0000CA0C0000}"/>
    <cellStyle name="Currency 5 3 2 4 2" xfId="2989" xr:uid="{00000000-0005-0000-0000-0000CB0C0000}"/>
    <cellStyle name="Currency 5 3 2 4 2 2" xfId="7211" xr:uid="{00000000-0005-0000-0000-0000CC0C0000}"/>
    <cellStyle name="Currency 5 3 2 4 2 2 2" xfId="15661" xr:uid="{C23FFF3B-2DE9-4C02-BD8B-F425DE736283}"/>
    <cellStyle name="Currency 5 3 2 4 2 3" xfId="11443" xr:uid="{D11689FC-0D86-4BDB-B44B-FB51B9574A2D}"/>
    <cellStyle name="Currency 5 3 2 4 3" xfId="5066" xr:uid="{00000000-0005-0000-0000-0000CD0C0000}"/>
    <cellStyle name="Currency 5 3 2 4 3 2" xfId="13516" xr:uid="{5371CC57-8CDA-4CAD-830E-D8515F6E4FE9}"/>
    <cellStyle name="Currency 5 3 2 4 4" xfId="9298" xr:uid="{1FE1C1EA-AA40-4F5E-B944-BD926AF90A61}"/>
    <cellStyle name="Currency 5 3 2 5" xfId="1171" xr:uid="{00000000-0005-0000-0000-0000CE0C0000}"/>
    <cellStyle name="Currency 5 3 2 5 2" xfId="3402" xr:uid="{00000000-0005-0000-0000-0000CF0C0000}"/>
    <cellStyle name="Currency 5 3 2 5 2 2" xfId="7624" xr:uid="{00000000-0005-0000-0000-0000D00C0000}"/>
    <cellStyle name="Currency 5 3 2 5 2 2 2" xfId="16074" xr:uid="{584FC513-6AF0-4436-818C-BB3DF37BE0B2}"/>
    <cellStyle name="Currency 5 3 2 5 2 3" xfId="11856" xr:uid="{F80F0B00-A7C5-441E-80FC-C8A70F72077E}"/>
    <cellStyle name="Currency 5 3 2 5 3" xfId="5479" xr:uid="{00000000-0005-0000-0000-0000D10C0000}"/>
    <cellStyle name="Currency 5 3 2 5 3 2" xfId="13929" xr:uid="{078ED064-3A27-4070-8D47-C169312BF9A5}"/>
    <cellStyle name="Currency 5 3 2 5 4" xfId="9711" xr:uid="{AC56FC72-2978-4AC3-9BC4-E8D4C2B68F16}"/>
    <cellStyle name="Currency 5 3 2 6" xfId="1585" xr:uid="{00000000-0005-0000-0000-0000D20C0000}"/>
    <cellStyle name="Currency 5 3 2 6 2" xfId="3815" xr:uid="{00000000-0005-0000-0000-0000D30C0000}"/>
    <cellStyle name="Currency 5 3 2 6 2 2" xfId="8037" xr:uid="{00000000-0005-0000-0000-0000D40C0000}"/>
    <cellStyle name="Currency 5 3 2 6 2 2 2" xfId="16487" xr:uid="{FF882830-E1D4-43F1-B536-4EED7A9D15BC}"/>
    <cellStyle name="Currency 5 3 2 6 2 3" xfId="12269" xr:uid="{7A7D10C4-F37C-43AC-8779-8D0C1BBA717D}"/>
    <cellStyle name="Currency 5 3 2 6 3" xfId="5892" xr:uid="{00000000-0005-0000-0000-0000D50C0000}"/>
    <cellStyle name="Currency 5 3 2 6 3 2" xfId="14342" xr:uid="{8662F3CB-A938-4C07-9A96-0E5D339CCB9C}"/>
    <cellStyle name="Currency 5 3 2 6 4" xfId="10124" xr:uid="{9A0A11C9-FB13-421A-AAA2-2F996B96B0A3}"/>
    <cellStyle name="Currency 5 3 2 7" xfId="1999" xr:uid="{00000000-0005-0000-0000-0000D60C0000}"/>
    <cellStyle name="Currency 5 3 2 7 2" xfId="4228" xr:uid="{00000000-0005-0000-0000-0000D70C0000}"/>
    <cellStyle name="Currency 5 3 2 7 2 2" xfId="8450" xr:uid="{00000000-0005-0000-0000-0000D80C0000}"/>
    <cellStyle name="Currency 5 3 2 7 2 2 2" xfId="16900" xr:uid="{67C41E65-7049-4A32-88F2-74B42F8FDD88}"/>
    <cellStyle name="Currency 5 3 2 7 2 3" xfId="12682" xr:uid="{21733448-923B-47A9-BC14-17330B1F3099}"/>
    <cellStyle name="Currency 5 3 2 7 3" xfId="6305" xr:uid="{00000000-0005-0000-0000-0000D90C0000}"/>
    <cellStyle name="Currency 5 3 2 7 3 2" xfId="14755" xr:uid="{FD0C2AA9-1120-479E-ABC5-70A2C7A2AD4C}"/>
    <cellStyle name="Currency 5 3 2 7 4" xfId="10537" xr:uid="{BC9416BF-AB46-47F5-AF57-C7644A267396}"/>
    <cellStyle name="Currency 5 3 2 8" xfId="2434" xr:uid="{00000000-0005-0000-0000-0000DA0C0000}"/>
    <cellStyle name="Currency 5 3 2 8 2" xfId="6718" xr:uid="{00000000-0005-0000-0000-0000DB0C0000}"/>
    <cellStyle name="Currency 5 3 2 8 2 2" xfId="15168" xr:uid="{F86F6671-8D15-48D2-A38F-92A2E2E39F74}"/>
    <cellStyle name="Currency 5 3 2 8 3" xfId="10950" xr:uid="{8741CF4D-EB9B-4876-8457-812C44D9FFD9}"/>
    <cellStyle name="Currency 5 3 2 9" xfId="2731" xr:uid="{00000000-0005-0000-0000-0000DC0C0000}"/>
    <cellStyle name="Currency 5 3 3" xfId="214" xr:uid="{00000000-0005-0000-0000-0000DD0C0000}"/>
    <cellStyle name="Currency 5 3 3 10" xfId="4656" xr:uid="{00000000-0005-0000-0000-0000DE0C0000}"/>
    <cellStyle name="Currency 5 3 3 10 2" xfId="13106" xr:uid="{BFCEA397-9DC2-44A1-B497-C7F462BA5CF1}"/>
    <cellStyle name="Currency 5 3 3 11" xfId="8888" xr:uid="{F808FB5E-4130-42E8-9B54-E833A19D6186}"/>
    <cellStyle name="Currency 5 3 3 2" xfId="215" xr:uid="{00000000-0005-0000-0000-0000DF0C0000}"/>
    <cellStyle name="Currency 5 3 3 2 10" xfId="8889" xr:uid="{CD09A486-6A0F-49DC-B721-CF3675C3DF89}"/>
    <cellStyle name="Currency 5 3 3 2 2" xfId="741" xr:uid="{00000000-0005-0000-0000-0000E00C0000}"/>
    <cellStyle name="Currency 5 3 3 2 2 2" xfId="2994" xr:uid="{00000000-0005-0000-0000-0000E10C0000}"/>
    <cellStyle name="Currency 5 3 3 2 2 2 2" xfId="7216" xr:uid="{00000000-0005-0000-0000-0000E20C0000}"/>
    <cellStyle name="Currency 5 3 3 2 2 2 2 2" xfId="15666" xr:uid="{754DA25B-4557-4F57-B8FB-72A65D0D0A97}"/>
    <cellStyle name="Currency 5 3 3 2 2 2 3" xfId="11448" xr:uid="{0D29E714-4DE7-4F87-8CCD-6A76EB9F2A1B}"/>
    <cellStyle name="Currency 5 3 3 2 2 3" xfId="5071" xr:uid="{00000000-0005-0000-0000-0000E30C0000}"/>
    <cellStyle name="Currency 5 3 3 2 2 3 2" xfId="13521" xr:uid="{75FAB605-FBC1-4E93-A34F-300277159FC8}"/>
    <cellStyle name="Currency 5 3 3 2 2 4" xfId="9303" xr:uid="{54171F58-2664-45BE-8890-0B5EB67E130C}"/>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2 2 2" xfId="16079" xr:uid="{047762D7-BD04-4493-A583-3A2A2DEACB0F}"/>
    <cellStyle name="Currency 5 3 3 2 3 2 3" xfId="11861" xr:uid="{4B45584B-3E85-4D28-A9AC-20A92C1F6E95}"/>
    <cellStyle name="Currency 5 3 3 2 3 3" xfId="5484" xr:uid="{00000000-0005-0000-0000-0000E70C0000}"/>
    <cellStyle name="Currency 5 3 3 2 3 3 2" xfId="13934" xr:uid="{BAC4A300-F8F8-4444-8FA1-E262846F88E1}"/>
    <cellStyle name="Currency 5 3 3 2 3 4" xfId="9716" xr:uid="{6B4B7955-29A0-48F1-8368-09D848379F73}"/>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2 2 2" xfId="16492" xr:uid="{9EF255C7-FEAB-44B2-B544-5FC5D8EF7B61}"/>
    <cellStyle name="Currency 5 3 3 2 4 2 3" xfId="12274" xr:uid="{5B4FEBFE-9B5A-4E33-AA17-F54BBC190DA6}"/>
    <cellStyle name="Currency 5 3 3 2 4 3" xfId="5897" xr:uid="{00000000-0005-0000-0000-0000EB0C0000}"/>
    <cellStyle name="Currency 5 3 3 2 4 3 2" xfId="14347" xr:uid="{4997F2B6-5077-4EE0-A10C-A92E2C3175EA}"/>
    <cellStyle name="Currency 5 3 3 2 4 4" xfId="10129" xr:uid="{9C76DAB1-2909-4B6F-8CCA-ADB9E8CC545B}"/>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2 2 2" xfId="16905" xr:uid="{9534682B-C6DC-4DBD-99C2-27EA1635A2A6}"/>
    <cellStyle name="Currency 5 3 3 2 5 2 3" xfId="12687" xr:uid="{778D35FD-ACF8-475D-A474-E8A59F55A962}"/>
    <cellStyle name="Currency 5 3 3 2 5 3" xfId="6310" xr:uid="{00000000-0005-0000-0000-0000EF0C0000}"/>
    <cellStyle name="Currency 5 3 3 2 5 3 2" xfId="14760" xr:uid="{FEABF3BF-1ACB-4C37-BECF-9ADB9760F94E}"/>
    <cellStyle name="Currency 5 3 3 2 5 4" xfId="10542" xr:uid="{933F513B-AFF4-4A1D-A26D-485E57810F92}"/>
    <cellStyle name="Currency 5 3 3 2 6" xfId="2439" xr:uid="{00000000-0005-0000-0000-0000F00C0000}"/>
    <cellStyle name="Currency 5 3 3 2 6 2" xfId="6723" xr:uid="{00000000-0005-0000-0000-0000F10C0000}"/>
    <cellStyle name="Currency 5 3 3 2 6 2 2" xfId="15173" xr:uid="{ACBACCF5-D223-497B-9858-C4C3834807EA}"/>
    <cellStyle name="Currency 5 3 3 2 6 3" xfId="10955" xr:uid="{1A56D1E2-63D4-423C-9B3A-C6BDB2B261C4}"/>
    <cellStyle name="Currency 5 3 3 2 7" xfId="2736" xr:uid="{00000000-0005-0000-0000-0000F20C0000}"/>
    <cellStyle name="Currency 5 3 3 2 8" xfId="2817" xr:uid="{00000000-0005-0000-0000-0000F30C0000}"/>
    <cellStyle name="Currency 5 3 3 2 8 2" xfId="7040" xr:uid="{00000000-0005-0000-0000-0000F40C0000}"/>
    <cellStyle name="Currency 5 3 3 2 8 2 2" xfId="15490" xr:uid="{B40DC0B1-3D25-499A-84DB-302F66093087}"/>
    <cellStyle name="Currency 5 3 3 2 8 3" xfId="11272" xr:uid="{50F64D11-3C85-42E5-9FAE-303533F080E3}"/>
    <cellStyle name="Currency 5 3 3 2 9" xfId="4657" xr:uid="{00000000-0005-0000-0000-0000F50C0000}"/>
    <cellStyle name="Currency 5 3 3 2 9 2" xfId="13107" xr:uid="{2F606D0F-2E82-4C71-A0C6-91A1C714C66E}"/>
    <cellStyle name="Currency 5 3 3 3" xfId="740" xr:uid="{00000000-0005-0000-0000-0000F60C0000}"/>
    <cellStyle name="Currency 5 3 3 3 2" xfId="2993" xr:uid="{00000000-0005-0000-0000-0000F70C0000}"/>
    <cellStyle name="Currency 5 3 3 3 2 2" xfId="7215" xr:uid="{00000000-0005-0000-0000-0000F80C0000}"/>
    <cellStyle name="Currency 5 3 3 3 2 2 2" xfId="15665" xr:uid="{7D4609DE-09CC-4C1B-8C9C-224C8F8DBAE8}"/>
    <cellStyle name="Currency 5 3 3 3 2 3" xfId="11447" xr:uid="{4F093671-29C1-4CB8-95C4-2744EC45AF10}"/>
    <cellStyle name="Currency 5 3 3 3 3" xfId="5070" xr:uid="{00000000-0005-0000-0000-0000F90C0000}"/>
    <cellStyle name="Currency 5 3 3 3 3 2" xfId="13520" xr:uid="{65F32213-139C-41EA-A974-FB3205C0CB71}"/>
    <cellStyle name="Currency 5 3 3 3 4" xfId="9302" xr:uid="{EA392436-673D-49C5-B987-F250EFCC06D4}"/>
    <cellStyle name="Currency 5 3 3 4" xfId="1175" xr:uid="{00000000-0005-0000-0000-0000FA0C0000}"/>
    <cellStyle name="Currency 5 3 3 4 2" xfId="3406" xr:uid="{00000000-0005-0000-0000-0000FB0C0000}"/>
    <cellStyle name="Currency 5 3 3 4 2 2" xfId="7628" xr:uid="{00000000-0005-0000-0000-0000FC0C0000}"/>
    <cellStyle name="Currency 5 3 3 4 2 2 2" xfId="16078" xr:uid="{00D144FB-2C5A-4214-8DB7-3525F8AEF340}"/>
    <cellStyle name="Currency 5 3 3 4 2 3" xfId="11860" xr:uid="{15A7BBCD-9280-45C7-B370-8A42FBBB975E}"/>
    <cellStyle name="Currency 5 3 3 4 3" xfId="5483" xr:uid="{00000000-0005-0000-0000-0000FD0C0000}"/>
    <cellStyle name="Currency 5 3 3 4 3 2" xfId="13933" xr:uid="{7C0B86E2-8B8D-45E1-9FEA-F3C4B2970114}"/>
    <cellStyle name="Currency 5 3 3 4 4" xfId="9715" xr:uid="{9E70E95B-FC5A-4BFE-AC0C-D322A360783C}"/>
    <cellStyle name="Currency 5 3 3 5" xfId="1589" xr:uid="{00000000-0005-0000-0000-0000FE0C0000}"/>
    <cellStyle name="Currency 5 3 3 5 2" xfId="3819" xr:uid="{00000000-0005-0000-0000-0000FF0C0000}"/>
    <cellStyle name="Currency 5 3 3 5 2 2" xfId="8041" xr:uid="{00000000-0005-0000-0000-0000000D0000}"/>
    <cellStyle name="Currency 5 3 3 5 2 2 2" xfId="16491" xr:uid="{2A1EB6DC-08A5-44E4-BA59-C6A346B01005}"/>
    <cellStyle name="Currency 5 3 3 5 2 3" xfId="12273" xr:uid="{E181F840-284A-4D8D-B192-55F906CE04EF}"/>
    <cellStyle name="Currency 5 3 3 5 3" xfId="5896" xr:uid="{00000000-0005-0000-0000-0000010D0000}"/>
    <cellStyle name="Currency 5 3 3 5 3 2" xfId="14346" xr:uid="{EC4E320D-5EEB-4643-92D3-AA4FFB360C04}"/>
    <cellStyle name="Currency 5 3 3 5 4" xfId="10128" xr:uid="{BC7C6D65-9D95-4137-9F1F-3550D0C7EBE8}"/>
    <cellStyle name="Currency 5 3 3 6" xfId="2003" xr:uid="{00000000-0005-0000-0000-0000020D0000}"/>
    <cellStyle name="Currency 5 3 3 6 2" xfId="4232" xr:uid="{00000000-0005-0000-0000-0000030D0000}"/>
    <cellStyle name="Currency 5 3 3 6 2 2" xfId="8454" xr:uid="{00000000-0005-0000-0000-0000040D0000}"/>
    <cellStyle name="Currency 5 3 3 6 2 2 2" xfId="16904" xr:uid="{6C7424FC-5834-48CF-B9B1-7E81DA1D2C8B}"/>
    <cellStyle name="Currency 5 3 3 6 2 3" xfId="12686" xr:uid="{289ECB17-E2ED-405A-BA97-D1EC66C79A44}"/>
    <cellStyle name="Currency 5 3 3 6 3" xfId="6309" xr:uid="{00000000-0005-0000-0000-0000050D0000}"/>
    <cellStyle name="Currency 5 3 3 6 3 2" xfId="14759" xr:uid="{0BE02010-C473-491F-A52A-351F3FDC378A}"/>
    <cellStyle name="Currency 5 3 3 6 4" xfId="10541" xr:uid="{61573FE8-5AC5-4684-8156-77DE506BBC27}"/>
    <cellStyle name="Currency 5 3 3 7" xfId="2438" xr:uid="{00000000-0005-0000-0000-0000060D0000}"/>
    <cellStyle name="Currency 5 3 3 7 2" xfId="6722" xr:uid="{00000000-0005-0000-0000-0000070D0000}"/>
    <cellStyle name="Currency 5 3 3 7 2 2" xfId="15172" xr:uid="{F7F6923D-C5B7-4A52-B8A4-3FD641BBA26D}"/>
    <cellStyle name="Currency 5 3 3 7 3" xfId="10954" xr:uid="{322F4C5B-6C72-4ABE-AD54-11687501A71F}"/>
    <cellStyle name="Currency 5 3 3 8" xfId="2735" xr:uid="{00000000-0005-0000-0000-0000080D0000}"/>
    <cellStyle name="Currency 5 3 3 9" xfId="2816" xr:uid="{00000000-0005-0000-0000-0000090D0000}"/>
    <cellStyle name="Currency 5 3 3 9 2" xfId="7039" xr:uid="{00000000-0005-0000-0000-00000A0D0000}"/>
    <cellStyle name="Currency 5 3 3 9 2 2" xfId="15489" xr:uid="{97F1BEDB-25A9-41F8-BC32-B123865BE8F4}"/>
    <cellStyle name="Currency 5 3 3 9 3" xfId="11271" xr:uid="{21FFFA0F-22D6-4C26-BA91-688EFA8F2D39}"/>
    <cellStyle name="Currency 5 3 4" xfId="216" xr:uid="{00000000-0005-0000-0000-00000B0D0000}"/>
    <cellStyle name="Currency 5 3 4 10" xfId="8890" xr:uid="{C0FBACEB-FC18-4DA8-A659-1DE849BE2855}"/>
    <cellStyle name="Currency 5 3 4 2" xfId="742" xr:uid="{00000000-0005-0000-0000-00000C0D0000}"/>
    <cellStyle name="Currency 5 3 4 2 2" xfId="2995" xr:uid="{00000000-0005-0000-0000-00000D0D0000}"/>
    <cellStyle name="Currency 5 3 4 2 2 2" xfId="7217" xr:uid="{00000000-0005-0000-0000-00000E0D0000}"/>
    <cellStyle name="Currency 5 3 4 2 2 2 2" xfId="15667" xr:uid="{5FCADD07-CE82-42DF-BE05-F9E05FA5629B}"/>
    <cellStyle name="Currency 5 3 4 2 2 3" xfId="11449" xr:uid="{3101967F-B863-46AE-B138-E1EEF921BD1F}"/>
    <cellStyle name="Currency 5 3 4 2 3" xfId="5072" xr:uid="{00000000-0005-0000-0000-00000F0D0000}"/>
    <cellStyle name="Currency 5 3 4 2 3 2" xfId="13522" xr:uid="{83B8AC8F-185B-45FA-A199-C575C3321612}"/>
    <cellStyle name="Currency 5 3 4 2 4" xfId="9304" xr:uid="{3E070BB5-5C33-4825-B2E0-3A671B4ADE5D}"/>
    <cellStyle name="Currency 5 3 4 3" xfId="1177" xr:uid="{00000000-0005-0000-0000-0000100D0000}"/>
    <cellStyle name="Currency 5 3 4 3 2" xfId="3408" xr:uid="{00000000-0005-0000-0000-0000110D0000}"/>
    <cellStyle name="Currency 5 3 4 3 2 2" xfId="7630" xr:uid="{00000000-0005-0000-0000-0000120D0000}"/>
    <cellStyle name="Currency 5 3 4 3 2 2 2" xfId="16080" xr:uid="{8F68838C-B856-43EB-A90F-B846E2CA3AE4}"/>
    <cellStyle name="Currency 5 3 4 3 2 3" xfId="11862" xr:uid="{F7B5561C-9E39-4ADA-98D8-B09BB5B19B7F}"/>
    <cellStyle name="Currency 5 3 4 3 3" xfId="5485" xr:uid="{00000000-0005-0000-0000-0000130D0000}"/>
    <cellStyle name="Currency 5 3 4 3 3 2" xfId="13935" xr:uid="{F7E8A44B-6FD5-4FF9-A01C-8154D7D04FBF}"/>
    <cellStyle name="Currency 5 3 4 3 4" xfId="9717" xr:uid="{0FD92E34-8AB8-4DDD-A187-1E81D667EFAE}"/>
    <cellStyle name="Currency 5 3 4 4" xfId="1591" xr:uid="{00000000-0005-0000-0000-0000140D0000}"/>
    <cellStyle name="Currency 5 3 4 4 2" xfId="3821" xr:uid="{00000000-0005-0000-0000-0000150D0000}"/>
    <cellStyle name="Currency 5 3 4 4 2 2" xfId="8043" xr:uid="{00000000-0005-0000-0000-0000160D0000}"/>
    <cellStyle name="Currency 5 3 4 4 2 2 2" xfId="16493" xr:uid="{ACA6E369-F7D9-486A-89BD-93060FF17FB6}"/>
    <cellStyle name="Currency 5 3 4 4 2 3" xfId="12275" xr:uid="{48EC8EC3-6125-4C19-AD21-0E7EA4E94F8B}"/>
    <cellStyle name="Currency 5 3 4 4 3" xfId="5898" xr:uid="{00000000-0005-0000-0000-0000170D0000}"/>
    <cellStyle name="Currency 5 3 4 4 3 2" xfId="14348" xr:uid="{8C246EEC-6B9F-460C-A714-FCD57CCC2167}"/>
    <cellStyle name="Currency 5 3 4 4 4" xfId="10130" xr:uid="{2015BD74-C1AC-4611-A6C6-DD66428AC2E0}"/>
    <cellStyle name="Currency 5 3 4 5" xfId="2005" xr:uid="{00000000-0005-0000-0000-0000180D0000}"/>
    <cellStyle name="Currency 5 3 4 5 2" xfId="4234" xr:uid="{00000000-0005-0000-0000-0000190D0000}"/>
    <cellStyle name="Currency 5 3 4 5 2 2" xfId="8456" xr:uid="{00000000-0005-0000-0000-00001A0D0000}"/>
    <cellStyle name="Currency 5 3 4 5 2 2 2" xfId="16906" xr:uid="{4CE35E71-80A2-4857-B026-D34F7160C926}"/>
    <cellStyle name="Currency 5 3 4 5 2 3" xfId="12688" xr:uid="{88ADEBE0-0F83-49C6-915A-230A50936108}"/>
    <cellStyle name="Currency 5 3 4 5 3" xfId="6311" xr:uid="{00000000-0005-0000-0000-00001B0D0000}"/>
    <cellStyle name="Currency 5 3 4 5 3 2" xfId="14761" xr:uid="{CAD75685-E696-48CB-A891-877E5E8AAE30}"/>
    <cellStyle name="Currency 5 3 4 5 4" xfId="10543" xr:uid="{F94BB0D0-4078-4AEF-A7C2-675A465388E2}"/>
    <cellStyle name="Currency 5 3 4 6" xfId="2440" xr:uid="{00000000-0005-0000-0000-00001C0D0000}"/>
    <cellStyle name="Currency 5 3 4 6 2" xfId="6724" xr:uid="{00000000-0005-0000-0000-00001D0D0000}"/>
    <cellStyle name="Currency 5 3 4 6 2 2" xfId="15174" xr:uid="{31BCAA19-A932-4107-ADC2-D085578104B6}"/>
    <cellStyle name="Currency 5 3 4 6 3" xfId="10956" xr:uid="{1C24075F-0421-4673-977F-CCB37EFC3B4B}"/>
    <cellStyle name="Currency 5 3 4 7" xfId="2737" xr:uid="{00000000-0005-0000-0000-00001E0D0000}"/>
    <cellStyle name="Currency 5 3 4 8" xfId="2818" xr:uid="{00000000-0005-0000-0000-00001F0D0000}"/>
    <cellStyle name="Currency 5 3 4 8 2" xfId="7041" xr:uid="{00000000-0005-0000-0000-0000200D0000}"/>
    <cellStyle name="Currency 5 3 4 8 2 2" xfId="15491" xr:uid="{743E0C38-D340-43BD-B4BE-75FF921807A5}"/>
    <cellStyle name="Currency 5 3 4 8 3" xfId="11273" xr:uid="{C6D40667-B267-400F-B570-562E94FA00F3}"/>
    <cellStyle name="Currency 5 3 4 9" xfId="4658" xr:uid="{00000000-0005-0000-0000-0000210D0000}"/>
    <cellStyle name="Currency 5 3 4 9 2" xfId="13108" xr:uid="{FC677481-BFED-4FD7-8F85-F22086201F48}"/>
    <cellStyle name="Currency 5 3 5" xfId="217" xr:uid="{00000000-0005-0000-0000-0000220D0000}"/>
    <cellStyle name="Currency 5 3 5 10" xfId="8891" xr:uid="{DCFEC4F3-5F9D-4B62-B56E-6B8E64BC3F06}"/>
    <cellStyle name="Currency 5 3 5 2" xfId="743" xr:uid="{00000000-0005-0000-0000-0000230D0000}"/>
    <cellStyle name="Currency 5 3 5 2 2" xfId="2996" xr:uid="{00000000-0005-0000-0000-0000240D0000}"/>
    <cellStyle name="Currency 5 3 5 2 2 2" xfId="7218" xr:uid="{00000000-0005-0000-0000-0000250D0000}"/>
    <cellStyle name="Currency 5 3 5 2 2 2 2" xfId="15668" xr:uid="{6AF9913B-9055-45BF-98C0-D4B4E6C6C236}"/>
    <cellStyle name="Currency 5 3 5 2 2 3" xfId="11450" xr:uid="{23477DC2-D55B-467D-B526-89C8CFC27D7B}"/>
    <cellStyle name="Currency 5 3 5 2 3" xfId="5073" xr:uid="{00000000-0005-0000-0000-0000260D0000}"/>
    <cellStyle name="Currency 5 3 5 2 3 2" xfId="13523" xr:uid="{E84D7E47-0B17-4C78-B6D8-497FAD0A798B}"/>
    <cellStyle name="Currency 5 3 5 2 4" xfId="9305" xr:uid="{E8C5F559-2018-47F9-B5EC-E09BAB029F64}"/>
    <cellStyle name="Currency 5 3 5 3" xfId="1178" xr:uid="{00000000-0005-0000-0000-0000270D0000}"/>
    <cellStyle name="Currency 5 3 5 3 2" xfId="3409" xr:uid="{00000000-0005-0000-0000-0000280D0000}"/>
    <cellStyle name="Currency 5 3 5 3 2 2" xfId="7631" xr:uid="{00000000-0005-0000-0000-0000290D0000}"/>
    <cellStyle name="Currency 5 3 5 3 2 2 2" xfId="16081" xr:uid="{87C813D9-1DEB-44DA-95CD-65EC24AF7F1E}"/>
    <cellStyle name="Currency 5 3 5 3 2 3" xfId="11863" xr:uid="{C095617D-E738-433A-8EC6-94265DEBFD4A}"/>
    <cellStyle name="Currency 5 3 5 3 3" xfId="5486" xr:uid="{00000000-0005-0000-0000-00002A0D0000}"/>
    <cellStyle name="Currency 5 3 5 3 3 2" xfId="13936" xr:uid="{D990416C-D4EE-4EF4-9DA6-342F06C46923}"/>
    <cellStyle name="Currency 5 3 5 3 4" xfId="9718" xr:uid="{CF36AF3D-1993-4346-81AD-EB14631F1CDC}"/>
    <cellStyle name="Currency 5 3 5 4" xfId="1592" xr:uid="{00000000-0005-0000-0000-00002B0D0000}"/>
    <cellStyle name="Currency 5 3 5 4 2" xfId="3822" xr:uid="{00000000-0005-0000-0000-00002C0D0000}"/>
    <cellStyle name="Currency 5 3 5 4 2 2" xfId="8044" xr:uid="{00000000-0005-0000-0000-00002D0D0000}"/>
    <cellStyle name="Currency 5 3 5 4 2 2 2" xfId="16494" xr:uid="{C66457C0-E6FB-4668-9616-D8E6A218717E}"/>
    <cellStyle name="Currency 5 3 5 4 2 3" xfId="12276" xr:uid="{9A7AC106-CBF5-45B1-9D0F-636D97942F72}"/>
    <cellStyle name="Currency 5 3 5 4 3" xfId="5899" xr:uid="{00000000-0005-0000-0000-00002E0D0000}"/>
    <cellStyle name="Currency 5 3 5 4 3 2" xfId="14349" xr:uid="{D30B6DDB-7C9B-499D-8384-20D8123458D2}"/>
    <cellStyle name="Currency 5 3 5 4 4" xfId="10131" xr:uid="{DF3C92CB-227D-4BA5-9F80-5306418D5FEF}"/>
    <cellStyle name="Currency 5 3 5 5" xfId="2006" xr:uid="{00000000-0005-0000-0000-00002F0D0000}"/>
    <cellStyle name="Currency 5 3 5 5 2" xfId="4235" xr:uid="{00000000-0005-0000-0000-0000300D0000}"/>
    <cellStyle name="Currency 5 3 5 5 2 2" xfId="8457" xr:uid="{00000000-0005-0000-0000-0000310D0000}"/>
    <cellStyle name="Currency 5 3 5 5 2 2 2" xfId="16907" xr:uid="{7B2A30E9-0B5C-443E-81B9-01008E74B417}"/>
    <cellStyle name="Currency 5 3 5 5 2 3" xfId="12689" xr:uid="{6F9A83B5-D9EA-465A-8184-52E48CFE027A}"/>
    <cellStyle name="Currency 5 3 5 5 3" xfId="6312" xr:uid="{00000000-0005-0000-0000-0000320D0000}"/>
    <cellStyle name="Currency 5 3 5 5 3 2" xfId="14762" xr:uid="{7DDF458B-DBB4-4504-9371-544D39086E5F}"/>
    <cellStyle name="Currency 5 3 5 5 4" xfId="10544" xr:uid="{9E0A025A-14B0-47EE-95F6-CED4E4A50679}"/>
    <cellStyle name="Currency 5 3 5 6" xfId="2441" xr:uid="{00000000-0005-0000-0000-0000330D0000}"/>
    <cellStyle name="Currency 5 3 5 6 2" xfId="6725" xr:uid="{00000000-0005-0000-0000-0000340D0000}"/>
    <cellStyle name="Currency 5 3 5 6 2 2" xfId="15175" xr:uid="{4F10A352-156A-44F8-B894-DC576C62A17B}"/>
    <cellStyle name="Currency 5 3 5 6 3" xfId="10957" xr:uid="{A37E740B-042C-4679-A117-C7EB771619EB}"/>
    <cellStyle name="Currency 5 3 5 7" xfId="2738" xr:uid="{00000000-0005-0000-0000-0000350D0000}"/>
    <cellStyle name="Currency 5 3 5 8" xfId="2819" xr:uid="{00000000-0005-0000-0000-0000360D0000}"/>
    <cellStyle name="Currency 5 3 5 8 2" xfId="7042" xr:uid="{00000000-0005-0000-0000-0000370D0000}"/>
    <cellStyle name="Currency 5 3 5 8 2 2" xfId="15492" xr:uid="{58D7AB63-3512-4E6D-B4FE-3928E51CD7AB}"/>
    <cellStyle name="Currency 5 3 5 8 3" xfId="11274" xr:uid="{0F42F7D9-7C98-43A3-B4C7-CB1699384BC6}"/>
    <cellStyle name="Currency 5 3 5 9" xfId="4659" xr:uid="{00000000-0005-0000-0000-0000380D0000}"/>
    <cellStyle name="Currency 5 3 5 9 2" xfId="13109" xr:uid="{C4A81C62-6A26-4006-9CA7-984DBB892E9A}"/>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10 2" xfId="13110" xr:uid="{39F323B6-47B4-4CF3-B7E8-28077F1CCA6A}"/>
    <cellStyle name="Currency 5 5 11" xfId="8892" xr:uid="{19719831-66F1-4A45-9A93-472F30552ABA}"/>
    <cellStyle name="Currency 5 5 2" xfId="220" xr:uid="{00000000-0005-0000-0000-00003D0D0000}"/>
    <cellStyle name="Currency 5 5 2 10" xfId="8893" xr:uid="{35C61C60-5BD5-4A0D-81AF-EF9473550D58}"/>
    <cellStyle name="Currency 5 5 2 2" xfId="746" xr:uid="{00000000-0005-0000-0000-00003E0D0000}"/>
    <cellStyle name="Currency 5 5 2 2 2" xfId="2998" xr:uid="{00000000-0005-0000-0000-00003F0D0000}"/>
    <cellStyle name="Currency 5 5 2 2 2 2" xfId="7220" xr:uid="{00000000-0005-0000-0000-0000400D0000}"/>
    <cellStyle name="Currency 5 5 2 2 2 2 2" xfId="15670" xr:uid="{15799F24-F2C3-407E-9384-D882942003CC}"/>
    <cellStyle name="Currency 5 5 2 2 2 3" xfId="11452" xr:uid="{727F1B48-B366-45FD-A22E-D2E64CBA1AA2}"/>
    <cellStyle name="Currency 5 5 2 2 3" xfId="5075" xr:uid="{00000000-0005-0000-0000-0000410D0000}"/>
    <cellStyle name="Currency 5 5 2 2 3 2" xfId="13525" xr:uid="{FB2F51C9-79CB-469A-8D59-D7A92483F443}"/>
    <cellStyle name="Currency 5 5 2 2 4" xfId="9307" xr:uid="{07A02CF5-152E-463F-8848-9D5BA2DADAFE}"/>
    <cellStyle name="Currency 5 5 2 3" xfId="1180" xr:uid="{00000000-0005-0000-0000-0000420D0000}"/>
    <cellStyle name="Currency 5 5 2 3 2" xfId="3411" xr:uid="{00000000-0005-0000-0000-0000430D0000}"/>
    <cellStyle name="Currency 5 5 2 3 2 2" xfId="7633" xr:uid="{00000000-0005-0000-0000-0000440D0000}"/>
    <cellStyle name="Currency 5 5 2 3 2 2 2" xfId="16083" xr:uid="{9F695651-F896-42C2-936E-8168985CD8B8}"/>
    <cellStyle name="Currency 5 5 2 3 2 3" xfId="11865" xr:uid="{B3930C93-5FA1-452E-A484-6AA3ACD8CFF0}"/>
    <cellStyle name="Currency 5 5 2 3 3" xfId="5488" xr:uid="{00000000-0005-0000-0000-0000450D0000}"/>
    <cellStyle name="Currency 5 5 2 3 3 2" xfId="13938" xr:uid="{2B846053-ABAE-4DDD-A559-FB0BA1EAED90}"/>
    <cellStyle name="Currency 5 5 2 3 4" xfId="9720" xr:uid="{3EA283B0-712D-4C87-A7D1-934BF068C286}"/>
    <cellStyle name="Currency 5 5 2 4" xfId="1594" xr:uid="{00000000-0005-0000-0000-0000460D0000}"/>
    <cellStyle name="Currency 5 5 2 4 2" xfId="3824" xr:uid="{00000000-0005-0000-0000-0000470D0000}"/>
    <cellStyle name="Currency 5 5 2 4 2 2" xfId="8046" xr:uid="{00000000-0005-0000-0000-0000480D0000}"/>
    <cellStyle name="Currency 5 5 2 4 2 2 2" xfId="16496" xr:uid="{C49F3503-868C-48B0-8165-85475D0BE9B9}"/>
    <cellStyle name="Currency 5 5 2 4 2 3" xfId="12278" xr:uid="{44C7AF90-1949-43A9-AE2A-75F0566F2DDB}"/>
    <cellStyle name="Currency 5 5 2 4 3" xfId="5901" xr:uid="{00000000-0005-0000-0000-0000490D0000}"/>
    <cellStyle name="Currency 5 5 2 4 3 2" xfId="14351" xr:uid="{EC010A60-F4E6-48A3-9B7F-E094DD2D5453}"/>
    <cellStyle name="Currency 5 5 2 4 4" xfId="10133" xr:uid="{4A008E7F-F662-41FF-A456-D560EE763FF5}"/>
    <cellStyle name="Currency 5 5 2 5" xfId="2008" xr:uid="{00000000-0005-0000-0000-00004A0D0000}"/>
    <cellStyle name="Currency 5 5 2 5 2" xfId="4237" xr:uid="{00000000-0005-0000-0000-00004B0D0000}"/>
    <cellStyle name="Currency 5 5 2 5 2 2" xfId="8459" xr:uid="{00000000-0005-0000-0000-00004C0D0000}"/>
    <cellStyle name="Currency 5 5 2 5 2 2 2" xfId="16909" xr:uid="{435E5814-1BCA-4DBC-9E16-1DA0B48E0087}"/>
    <cellStyle name="Currency 5 5 2 5 2 3" xfId="12691" xr:uid="{4E0D82DA-346C-4B1B-976B-2FCDEC4CB49B}"/>
    <cellStyle name="Currency 5 5 2 5 3" xfId="6314" xr:uid="{00000000-0005-0000-0000-00004D0D0000}"/>
    <cellStyle name="Currency 5 5 2 5 3 2" xfId="14764" xr:uid="{7D214444-0672-4A35-83A4-F37197E5C81C}"/>
    <cellStyle name="Currency 5 5 2 5 4" xfId="10546" xr:uid="{FA500585-5BCD-4D6C-9113-1A6ADC4439A3}"/>
    <cellStyle name="Currency 5 5 2 6" xfId="2443" xr:uid="{00000000-0005-0000-0000-00004E0D0000}"/>
    <cellStyle name="Currency 5 5 2 6 2" xfId="6727" xr:uid="{00000000-0005-0000-0000-00004F0D0000}"/>
    <cellStyle name="Currency 5 5 2 6 2 2" xfId="15177" xr:uid="{F9458F0A-4AD9-4AA7-8394-1054B4AFF483}"/>
    <cellStyle name="Currency 5 5 2 6 3" xfId="10959" xr:uid="{673F65A9-C0ED-40F2-86EA-5C7CCFC95ED3}"/>
    <cellStyle name="Currency 5 5 2 7" xfId="2740" xr:uid="{00000000-0005-0000-0000-0000500D0000}"/>
    <cellStyle name="Currency 5 5 2 8" xfId="2821" xr:uid="{00000000-0005-0000-0000-0000510D0000}"/>
    <cellStyle name="Currency 5 5 2 8 2" xfId="7044" xr:uid="{00000000-0005-0000-0000-0000520D0000}"/>
    <cellStyle name="Currency 5 5 2 8 2 2" xfId="15494" xr:uid="{3562AC02-5963-4123-A6B5-28FD97F01E0C}"/>
    <cellStyle name="Currency 5 5 2 8 3" xfId="11276" xr:uid="{EFB53538-CD0F-422E-80C6-022B72625EDB}"/>
    <cellStyle name="Currency 5 5 2 9" xfId="4661" xr:uid="{00000000-0005-0000-0000-0000530D0000}"/>
    <cellStyle name="Currency 5 5 2 9 2" xfId="13111" xr:uid="{F1C1BAFA-3D9D-49FB-9855-F486EC87132B}"/>
    <cellStyle name="Currency 5 5 3" xfId="745" xr:uid="{00000000-0005-0000-0000-0000540D0000}"/>
    <cellStyle name="Currency 5 5 3 2" xfId="2997" xr:uid="{00000000-0005-0000-0000-0000550D0000}"/>
    <cellStyle name="Currency 5 5 3 2 2" xfId="7219" xr:uid="{00000000-0005-0000-0000-0000560D0000}"/>
    <cellStyle name="Currency 5 5 3 2 2 2" xfId="15669" xr:uid="{16513EE7-C723-42AF-B7FF-B54613E31CBA}"/>
    <cellStyle name="Currency 5 5 3 2 3" xfId="11451" xr:uid="{0659AD6A-E747-4447-8BAB-C2517BFD09D1}"/>
    <cellStyle name="Currency 5 5 3 3" xfId="5074" xr:uid="{00000000-0005-0000-0000-0000570D0000}"/>
    <cellStyle name="Currency 5 5 3 3 2" xfId="13524" xr:uid="{8D3D1A7B-4988-4F5E-AC2A-811EC80D2491}"/>
    <cellStyle name="Currency 5 5 3 4" xfId="9306" xr:uid="{0236D7A3-74B7-4DBA-B49E-5DF94AD840AC}"/>
    <cellStyle name="Currency 5 5 4" xfId="1179" xr:uid="{00000000-0005-0000-0000-0000580D0000}"/>
    <cellStyle name="Currency 5 5 4 2" xfId="3410" xr:uid="{00000000-0005-0000-0000-0000590D0000}"/>
    <cellStyle name="Currency 5 5 4 2 2" xfId="7632" xr:uid="{00000000-0005-0000-0000-00005A0D0000}"/>
    <cellStyle name="Currency 5 5 4 2 2 2" xfId="16082" xr:uid="{BE351B17-E645-4534-8B34-8D06DF6793F1}"/>
    <cellStyle name="Currency 5 5 4 2 3" xfId="11864" xr:uid="{B5FD3568-9A1D-4209-8CB3-A002E51D9CC2}"/>
    <cellStyle name="Currency 5 5 4 3" xfId="5487" xr:uid="{00000000-0005-0000-0000-00005B0D0000}"/>
    <cellStyle name="Currency 5 5 4 3 2" xfId="13937" xr:uid="{47F8BD01-F551-45DD-84A9-12A01AEEB1D7}"/>
    <cellStyle name="Currency 5 5 4 4" xfId="9719" xr:uid="{19B47B42-CD6F-47B2-A99A-0BDCA5D979A6}"/>
    <cellStyle name="Currency 5 5 5" xfId="1593" xr:uid="{00000000-0005-0000-0000-00005C0D0000}"/>
    <cellStyle name="Currency 5 5 5 2" xfId="3823" xr:uid="{00000000-0005-0000-0000-00005D0D0000}"/>
    <cellStyle name="Currency 5 5 5 2 2" xfId="8045" xr:uid="{00000000-0005-0000-0000-00005E0D0000}"/>
    <cellStyle name="Currency 5 5 5 2 2 2" xfId="16495" xr:uid="{05B6F2BC-48CB-4F07-93EA-4D9B80828548}"/>
    <cellStyle name="Currency 5 5 5 2 3" xfId="12277" xr:uid="{5401F3F7-6C2A-4318-AD67-30E0F9D9E6B3}"/>
    <cellStyle name="Currency 5 5 5 3" xfId="5900" xr:uid="{00000000-0005-0000-0000-00005F0D0000}"/>
    <cellStyle name="Currency 5 5 5 3 2" xfId="14350" xr:uid="{4685E80E-B7B9-4875-AF39-AB85CC388783}"/>
    <cellStyle name="Currency 5 5 5 4" xfId="10132" xr:uid="{C8B97CEC-738B-4E31-ACC5-A0E3C1EE6AE2}"/>
    <cellStyle name="Currency 5 5 6" xfId="2007" xr:uid="{00000000-0005-0000-0000-0000600D0000}"/>
    <cellStyle name="Currency 5 5 6 2" xfId="4236" xr:uid="{00000000-0005-0000-0000-0000610D0000}"/>
    <cellStyle name="Currency 5 5 6 2 2" xfId="8458" xr:uid="{00000000-0005-0000-0000-0000620D0000}"/>
    <cellStyle name="Currency 5 5 6 2 2 2" xfId="16908" xr:uid="{43EB818B-E950-493E-8BE8-AC0450F243D2}"/>
    <cellStyle name="Currency 5 5 6 2 3" xfId="12690" xr:uid="{928CF2B9-7F9A-4DDE-B62A-8B81E8C67BBB}"/>
    <cellStyle name="Currency 5 5 6 3" xfId="6313" xr:uid="{00000000-0005-0000-0000-0000630D0000}"/>
    <cellStyle name="Currency 5 5 6 3 2" xfId="14763" xr:uid="{44C171A1-9D8B-4126-9C48-79E2545233BC}"/>
    <cellStyle name="Currency 5 5 6 4" xfId="10545" xr:uid="{9B21EEE9-ED2C-4783-9A68-A8C94663E0A7}"/>
    <cellStyle name="Currency 5 5 7" xfId="2442" xr:uid="{00000000-0005-0000-0000-0000640D0000}"/>
    <cellStyle name="Currency 5 5 7 2" xfId="6726" xr:uid="{00000000-0005-0000-0000-0000650D0000}"/>
    <cellStyle name="Currency 5 5 7 2 2" xfId="15176" xr:uid="{E4FB85A5-5E97-49E5-9987-92A9DEA4C0AD}"/>
    <cellStyle name="Currency 5 5 7 3" xfId="10958" xr:uid="{97EDD5E2-F4F0-41D1-897D-1F87DFB197E0}"/>
    <cellStyle name="Currency 5 5 8" xfId="2739" xr:uid="{00000000-0005-0000-0000-0000660D0000}"/>
    <cellStyle name="Currency 5 5 9" xfId="2820" xr:uid="{00000000-0005-0000-0000-0000670D0000}"/>
    <cellStyle name="Currency 5 5 9 2" xfId="7043" xr:uid="{00000000-0005-0000-0000-0000680D0000}"/>
    <cellStyle name="Currency 5 5 9 2 2" xfId="15493" xr:uid="{3360D864-888A-47D8-BB9D-291A2CDC9556}"/>
    <cellStyle name="Currency 5 5 9 3" xfId="11275" xr:uid="{F11221EE-18BC-47D3-8BC5-43ACDA0C3818}"/>
    <cellStyle name="Currency 5 6" xfId="221" xr:uid="{00000000-0005-0000-0000-0000690D0000}"/>
    <cellStyle name="Currency 5 6 10" xfId="8894" xr:uid="{11627C33-B18D-4C26-A922-B49175107B37}"/>
    <cellStyle name="Currency 5 6 2" xfId="747" xr:uid="{00000000-0005-0000-0000-00006A0D0000}"/>
    <cellStyle name="Currency 5 6 2 2" xfId="2999" xr:uid="{00000000-0005-0000-0000-00006B0D0000}"/>
    <cellStyle name="Currency 5 6 2 2 2" xfId="7221" xr:uid="{00000000-0005-0000-0000-00006C0D0000}"/>
    <cellStyle name="Currency 5 6 2 2 2 2" xfId="15671" xr:uid="{7ECFE617-3CE1-4CE7-B38B-63434C61AEBD}"/>
    <cellStyle name="Currency 5 6 2 2 3" xfId="11453" xr:uid="{A622CEDF-1363-4F69-AF40-C5DDFCBCEC9E}"/>
    <cellStyle name="Currency 5 6 2 3" xfId="5076" xr:uid="{00000000-0005-0000-0000-00006D0D0000}"/>
    <cellStyle name="Currency 5 6 2 3 2" xfId="13526" xr:uid="{FBAC4614-4D24-4439-AFE5-458326A2C27C}"/>
    <cellStyle name="Currency 5 6 2 4" xfId="9308" xr:uid="{4E7CBBDC-6897-4351-BBC8-3C16D8A0DCA1}"/>
    <cellStyle name="Currency 5 6 3" xfId="1181" xr:uid="{00000000-0005-0000-0000-00006E0D0000}"/>
    <cellStyle name="Currency 5 6 3 2" xfId="3412" xr:uid="{00000000-0005-0000-0000-00006F0D0000}"/>
    <cellStyle name="Currency 5 6 3 2 2" xfId="7634" xr:uid="{00000000-0005-0000-0000-0000700D0000}"/>
    <cellStyle name="Currency 5 6 3 2 2 2" xfId="16084" xr:uid="{127F34A1-FE5A-4CEF-B40A-D946D1EBD330}"/>
    <cellStyle name="Currency 5 6 3 2 3" xfId="11866" xr:uid="{572FF6A0-D6CD-403B-9778-23706A63703C}"/>
    <cellStyle name="Currency 5 6 3 3" xfId="5489" xr:uid="{00000000-0005-0000-0000-0000710D0000}"/>
    <cellStyle name="Currency 5 6 3 3 2" xfId="13939" xr:uid="{B1A3899F-3A31-484F-A1B4-7A477ECAECE9}"/>
    <cellStyle name="Currency 5 6 3 4" xfId="9721" xr:uid="{CFB7F56E-A3D8-40E1-8367-263ECD61F27B}"/>
    <cellStyle name="Currency 5 6 4" xfId="1595" xr:uid="{00000000-0005-0000-0000-0000720D0000}"/>
    <cellStyle name="Currency 5 6 4 2" xfId="3825" xr:uid="{00000000-0005-0000-0000-0000730D0000}"/>
    <cellStyle name="Currency 5 6 4 2 2" xfId="8047" xr:uid="{00000000-0005-0000-0000-0000740D0000}"/>
    <cellStyle name="Currency 5 6 4 2 2 2" xfId="16497" xr:uid="{E5C98282-7257-41A4-928C-87911D31E002}"/>
    <cellStyle name="Currency 5 6 4 2 3" xfId="12279" xr:uid="{7D9D5AD3-71AE-403A-AD28-58095604DE34}"/>
    <cellStyle name="Currency 5 6 4 3" xfId="5902" xr:uid="{00000000-0005-0000-0000-0000750D0000}"/>
    <cellStyle name="Currency 5 6 4 3 2" xfId="14352" xr:uid="{01618BCA-717C-4382-84FE-E1F4142A51AA}"/>
    <cellStyle name="Currency 5 6 4 4" xfId="10134" xr:uid="{76C2DDDB-71DD-477C-ADEA-37AB88DB518D}"/>
    <cellStyle name="Currency 5 6 5" xfId="2009" xr:uid="{00000000-0005-0000-0000-0000760D0000}"/>
    <cellStyle name="Currency 5 6 5 2" xfId="4238" xr:uid="{00000000-0005-0000-0000-0000770D0000}"/>
    <cellStyle name="Currency 5 6 5 2 2" xfId="8460" xr:uid="{00000000-0005-0000-0000-0000780D0000}"/>
    <cellStyle name="Currency 5 6 5 2 2 2" xfId="16910" xr:uid="{0B243D44-21A9-4750-BE00-D65CE05C1649}"/>
    <cellStyle name="Currency 5 6 5 2 3" xfId="12692" xr:uid="{02C8A4C0-7A90-4CD2-A8DA-DCA22500BADB}"/>
    <cellStyle name="Currency 5 6 5 3" xfId="6315" xr:uid="{00000000-0005-0000-0000-0000790D0000}"/>
    <cellStyle name="Currency 5 6 5 3 2" xfId="14765" xr:uid="{374F3174-1FF6-4AF0-B50F-643685986BBC}"/>
    <cellStyle name="Currency 5 6 5 4" xfId="10547" xr:uid="{2F62150C-C994-4114-BA32-24EE051C94B8}"/>
    <cellStyle name="Currency 5 6 6" xfId="2444" xr:uid="{00000000-0005-0000-0000-00007A0D0000}"/>
    <cellStyle name="Currency 5 6 6 2" xfId="6728" xr:uid="{00000000-0005-0000-0000-00007B0D0000}"/>
    <cellStyle name="Currency 5 6 6 2 2" xfId="15178" xr:uid="{34666BEF-7EBA-4204-A727-9188F34C09EA}"/>
    <cellStyle name="Currency 5 6 6 3" xfId="10960" xr:uid="{E9483648-6F22-4A7F-A5F9-560521B42D6D}"/>
    <cellStyle name="Currency 5 6 7" xfId="2741" xr:uid="{00000000-0005-0000-0000-00007C0D0000}"/>
    <cellStyle name="Currency 5 6 8" xfId="2822" xr:uid="{00000000-0005-0000-0000-00007D0D0000}"/>
    <cellStyle name="Currency 5 6 8 2" xfId="7045" xr:uid="{00000000-0005-0000-0000-00007E0D0000}"/>
    <cellStyle name="Currency 5 6 8 2 2" xfId="15495" xr:uid="{31A94EBA-F89B-4422-AC7E-622924EDCF41}"/>
    <cellStyle name="Currency 5 6 8 3" xfId="11277" xr:uid="{A8D91E89-AADE-435E-B6D6-27F0F8662AE3}"/>
    <cellStyle name="Currency 5 6 9" xfId="4662" xr:uid="{00000000-0005-0000-0000-00007F0D0000}"/>
    <cellStyle name="Currency 5 6 9 2" xfId="13112" xr:uid="{C963DFBC-7331-438C-B01B-BE41883DC1A9}"/>
    <cellStyle name="Currency 5 7" xfId="222" xr:uid="{00000000-0005-0000-0000-0000800D0000}"/>
    <cellStyle name="Currency 5 7 10" xfId="8895" xr:uid="{AB37C765-3C13-4A5D-9C79-30A6453842BB}"/>
    <cellStyle name="Currency 5 7 2" xfId="748" xr:uid="{00000000-0005-0000-0000-0000810D0000}"/>
    <cellStyle name="Currency 5 7 2 2" xfId="3000" xr:uid="{00000000-0005-0000-0000-0000820D0000}"/>
    <cellStyle name="Currency 5 7 2 2 2" xfId="7222" xr:uid="{00000000-0005-0000-0000-0000830D0000}"/>
    <cellStyle name="Currency 5 7 2 2 2 2" xfId="15672" xr:uid="{226055EF-7657-4D58-A5EF-797BA46F8921}"/>
    <cellStyle name="Currency 5 7 2 2 3" xfId="11454" xr:uid="{2A4E9C63-6F6C-4A09-A4F0-81810B5B6208}"/>
    <cellStyle name="Currency 5 7 2 3" xfId="5077" xr:uid="{00000000-0005-0000-0000-0000840D0000}"/>
    <cellStyle name="Currency 5 7 2 3 2" xfId="13527" xr:uid="{42AD268E-53A7-48F8-BA2D-04D9E9AC30E1}"/>
    <cellStyle name="Currency 5 7 2 4" xfId="9309" xr:uid="{1AA85BAF-EADD-4F94-85E3-98E6C11C82F6}"/>
    <cellStyle name="Currency 5 7 3" xfId="1182" xr:uid="{00000000-0005-0000-0000-0000850D0000}"/>
    <cellStyle name="Currency 5 7 3 2" xfId="3413" xr:uid="{00000000-0005-0000-0000-0000860D0000}"/>
    <cellStyle name="Currency 5 7 3 2 2" xfId="7635" xr:uid="{00000000-0005-0000-0000-0000870D0000}"/>
    <cellStyle name="Currency 5 7 3 2 2 2" xfId="16085" xr:uid="{1D9E3A41-6B0A-445F-85CB-F0CBC8BDB738}"/>
    <cellStyle name="Currency 5 7 3 2 3" xfId="11867" xr:uid="{428B123C-E312-4005-A756-889BEEE0F78E}"/>
    <cellStyle name="Currency 5 7 3 3" xfId="5490" xr:uid="{00000000-0005-0000-0000-0000880D0000}"/>
    <cellStyle name="Currency 5 7 3 3 2" xfId="13940" xr:uid="{A38F7868-371E-4A66-B08B-A03633F8CB57}"/>
    <cellStyle name="Currency 5 7 3 4" xfId="9722" xr:uid="{155B11D7-BC44-41C3-9998-3C4915A8EC9C}"/>
    <cellStyle name="Currency 5 7 4" xfId="1596" xr:uid="{00000000-0005-0000-0000-0000890D0000}"/>
    <cellStyle name="Currency 5 7 4 2" xfId="3826" xr:uid="{00000000-0005-0000-0000-00008A0D0000}"/>
    <cellStyle name="Currency 5 7 4 2 2" xfId="8048" xr:uid="{00000000-0005-0000-0000-00008B0D0000}"/>
    <cellStyle name="Currency 5 7 4 2 2 2" xfId="16498" xr:uid="{86DE8E8F-8412-4BD5-B561-4CC3B64A3593}"/>
    <cellStyle name="Currency 5 7 4 2 3" xfId="12280" xr:uid="{07B4D6F5-D30D-4B45-ACDE-74DE3C6BF2EF}"/>
    <cellStyle name="Currency 5 7 4 3" xfId="5903" xr:uid="{00000000-0005-0000-0000-00008C0D0000}"/>
    <cellStyle name="Currency 5 7 4 3 2" xfId="14353" xr:uid="{E000C4EA-CD1A-4C80-806F-D3754EE38A43}"/>
    <cellStyle name="Currency 5 7 4 4" xfId="10135" xr:uid="{FDA3F350-9549-4EFA-9745-E65C5A0ADE2A}"/>
    <cellStyle name="Currency 5 7 5" xfId="2010" xr:uid="{00000000-0005-0000-0000-00008D0D0000}"/>
    <cellStyle name="Currency 5 7 5 2" xfId="4239" xr:uid="{00000000-0005-0000-0000-00008E0D0000}"/>
    <cellStyle name="Currency 5 7 5 2 2" xfId="8461" xr:uid="{00000000-0005-0000-0000-00008F0D0000}"/>
    <cellStyle name="Currency 5 7 5 2 2 2" xfId="16911" xr:uid="{05691114-E29C-48B8-94E2-B2E4BA890C36}"/>
    <cellStyle name="Currency 5 7 5 2 3" xfId="12693" xr:uid="{6FFE9914-C49A-42F6-A4D3-3401ECDC5ED2}"/>
    <cellStyle name="Currency 5 7 5 3" xfId="6316" xr:uid="{00000000-0005-0000-0000-0000900D0000}"/>
    <cellStyle name="Currency 5 7 5 3 2" xfId="14766" xr:uid="{A78D4107-3D1F-4665-B2C5-037FCCA682DE}"/>
    <cellStyle name="Currency 5 7 5 4" xfId="10548" xr:uid="{BC8C6851-A571-4B7A-810D-D7E431F87AC6}"/>
    <cellStyle name="Currency 5 7 6" xfId="2445" xr:uid="{00000000-0005-0000-0000-0000910D0000}"/>
    <cellStyle name="Currency 5 7 6 2" xfId="6729" xr:uid="{00000000-0005-0000-0000-0000920D0000}"/>
    <cellStyle name="Currency 5 7 6 2 2" xfId="15179" xr:uid="{3AC5CAB2-BA27-4B72-B4BA-308C87D86AF7}"/>
    <cellStyle name="Currency 5 7 6 3" xfId="10961" xr:uid="{1B888B33-DE54-49EE-B989-F72FBBE76E5D}"/>
    <cellStyle name="Currency 5 7 7" xfId="2742" xr:uid="{00000000-0005-0000-0000-0000930D0000}"/>
    <cellStyle name="Currency 5 7 8" xfId="2823" xr:uid="{00000000-0005-0000-0000-0000940D0000}"/>
    <cellStyle name="Currency 5 7 8 2" xfId="7046" xr:uid="{00000000-0005-0000-0000-0000950D0000}"/>
    <cellStyle name="Currency 5 7 8 2 2" xfId="15496" xr:uid="{CCDFEFED-24CB-46F2-AF0D-C6F49C8E627C}"/>
    <cellStyle name="Currency 5 7 8 3" xfId="11278" xr:uid="{25FC32BC-C89C-4403-AEC6-624A0243E8A1}"/>
    <cellStyle name="Currency 5 7 9" xfId="4663" xr:uid="{00000000-0005-0000-0000-0000960D0000}"/>
    <cellStyle name="Currency 5 7 9 2" xfId="13113" xr:uid="{7916B14A-BC4E-445E-AC08-29347D6E1608}"/>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0 2 2" xfId="15180" xr:uid="{3DA61C82-04DC-4AC9-ACCA-5183A57C6CF7}"/>
    <cellStyle name="Normal 12 10 3" xfId="10962" xr:uid="{D98B48A1-DF6C-42A5-94CF-A8581C113413}"/>
    <cellStyle name="Normal 12 11" xfId="4664" xr:uid="{00000000-0005-0000-0000-0000CC0D0000}"/>
    <cellStyle name="Normal 12 11 2" xfId="13114" xr:uid="{E915701A-71C6-4EC3-847D-8933F8A9C1C0}"/>
    <cellStyle name="Normal 12 12" xfId="8896" xr:uid="{E4DCB9C7-9A7E-4BBA-8CE1-D25BF7C39818}"/>
    <cellStyle name="Normal 12 2" xfId="260" xr:uid="{00000000-0005-0000-0000-0000CD0D0000}"/>
    <cellStyle name="Normal 12 2 10" xfId="8897" xr:uid="{DD1FE0C5-0285-4980-8FF4-7E3AD55E1DCA}"/>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2 2 2" xfId="15676" xr:uid="{52774CC1-F94A-44A7-8B70-C0A739AE0796}"/>
    <cellStyle name="Normal 12 2 2 2 2 2 3" xfId="11458" xr:uid="{D4114317-EA39-484A-86FE-9B91EF46F170}"/>
    <cellStyle name="Normal 12 2 2 2 2 3" xfId="5081" xr:uid="{00000000-0005-0000-0000-0000D30D0000}"/>
    <cellStyle name="Normal 12 2 2 2 2 3 2" xfId="13531" xr:uid="{84D8C3F8-B792-4C51-93EC-BB5A03D9EC56}"/>
    <cellStyle name="Normal 12 2 2 2 2 4" xfId="9313" xr:uid="{F189CFD1-A84B-430A-BE38-BA5D90C6456B}"/>
    <cellStyle name="Normal 12 2 2 2 3" xfId="1186" xr:uid="{00000000-0005-0000-0000-0000D40D0000}"/>
    <cellStyle name="Normal 12 2 2 2 3 2" xfId="3417" xr:uid="{00000000-0005-0000-0000-0000D50D0000}"/>
    <cellStyle name="Normal 12 2 2 2 3 2 2" xfId="7639" xr:uid="{00000000-0005-0000-0000-0000D60D0000}"/>
    <cellStyle name="Normal 12 2 2 2 3 2 2 2" xfId="16089" xr:uid="{9EE60F41-139A-4404-9DA8-07F8C1CE9AB5}"/>
    <cellStyle name="Normal 12 2 2 2 3 2 3" xfId="11871" xr:uid="{8A95C644-EC31-4B9A-9ADA-EEE5518911AD}"/>
    <cellStyle name="Normal 12 2 2 2 3 3" xfId="5494" xr:uid="{00000000-0005-0000-0000-0000D70D0000}"/>
    <cellStyle name="Normal 12 2 2 2 3 3 2" xfId="13944" xr:uid="{3EE8BC97-551C-4F19-86EC-CA5B16941934}"/>
    <cellStyle name="Normal 12 2 2 2 3 4" xfId="9726" xr:uid="{95A899E4-E347-4FFB-9743-B3F33BE5BC66}"/>
    <cellStyle name="Normal 12 2 2 2 4" xfId="1600" xr:uid="{00000000-0005-0000-0000-0000D80D0000}"/>
    <cellStyle name="Normal 12 2 2 2 4 2" xfId="3830" xr:uid="{00000000-0005-0000-0000-0000D90D0000}"/>
    <cellStyle name="Normal 12 2 2 2 4 2 2" xfId="8052" xr:uid="{00000000-0005-0000-0000-0000DA0D0000}"/>
    <cellStyle name="Normal 12 2 2 2 4 2 2 2" xfId="16502" xr:uid="{3773A0D2-BC63-43A4-ADD2-81EA8146AC01}"/>
    <cellStyle name="Normal 12 2 2 2 4 2 3" xfId="12284" xr:uid="{9486D4F4-4F8F-446A-96EA-F10E401A1825}"/>
    <cellStyle name="Normal 12 2 2 2 4 3" xfId="5907" xr:uid="{00000000-0005-0000-0000-0000DB0D0000}"/>
    <cellStyle name="Normal 12 2 2 2 4 3 2" xfId="14357" xr:uid="{16861A35-84DD-4646-965E-EB9081930DC5}"/>
    <cellStyle name="Normal 12 2 2 2 4 4" xfId="10139" xr:uid="{A030E3B6-268E-46D7-A28B-38E0540CCAEC}"/>
    <cellStyle name="Normal 12 2 2 2 5" xfId="2014" xr:uid="{00000000-0005-0000-0000-0000DC0D0000}"/>
    <cellStyle name="Normal 12 2 2 2 5 2" xfId="4243" xr:uid="{00000000-0005-0000-0000-0000DD0D0000}"/>
    <cellStyle name="Normal 12 2 2 2 5 2 2" xfId="8465" xr:uid="{00000000-0005-0000-0000-0000DE0D0000}"/>
    <cellStyle name="Normal 12 2 2 2 5 2 2 2" xfId="16915" xr:uid="{097AD62B-FA38-415C-94ED-A6EE9B338522}"/>
    <cellStyle name="Normal 12 2 2 2 5 2 3" xfId="12697" xr:uid="{70302046-5071-42DE-97B9-48B38BA1E348}"/>
    <cellStyle name="Normal 12 2 2 2 5 3" xfId="6320" xr:uid="{00000000-0005-0000-0000-0000DF0D0000}"/>
    <cellStyle name="Normal 12 2 2 2 5 3 2" xfId="14770" xr:uid="{137D466A-3A14-4EC9-AB08-981219DCCBD1}"/>
    <cellStyle name="Normal 12 2 2 2 5 4" xfId="10552" xr:uid="{6BFE61D5-22F4-46E8-BCD6-14B204C4FED8}"/>
    <cellStyle name="Normal 12 2 2 2 6" xfId="2450" xr:uid="{00000000-0005-0000-0000-0000E00D0000}"/>
    <cellStyle name="Normal 12 2 2 2 6 2" xfId="6733" xr:uid="{00000000-0005-0000-0000-0000E10D0000}"/>
    <cellStyle name="Normal 12 2 2 2 6 2 2" xfId="15183" xr:uid="{E2E57C3E-0184-4383-98ED-D4557E088EEB}"/>
    <cellStyle name="Normal 12 2 2 2 6 3" xfId="10965" xr:uid="{E494C60E-9AD7-4A8C-B10D-385E40FD26A1}"/>
    <cellStyle name="Normal 12 2 2 2 7" xfId="4667" xr:uid="{00000000-0005-0000-0000-0000E20D0000}"/>
    <cellStyle name="Normal 12 2 2 2 7 2" xfId="13117" xr:uid="{0B5D6F51-7602-4DD3-A4B0-856725E8C9AE}"/>
    <cellStyle name="Normal 12 2 2 2 8" xfId="8899" xr:uid="{BB5D6F7F-67F6-4B06-95A3-978D7D9E8E8C}"/>
    <cellStyle name="Normal 12 2 2 3" xfId="762" xr:uid="{00000000-0005-0000-0000-0000E30D0000}"/>
    <cellStyle name="Normal 12 2 2 3 2" xfId="3003" xr:uid="{00000000-0005-0000-0000-0000E40D0000}"/>
    <cellStyle name="Normal 12 2 2 3 2 2" xfId="7225" xr:uid="{00000000-0005-0000-0000-0000E50D0000}"/>
    <cellStyle name="Normal 12 2 2 3 2 2 2" xfId="15675" xr:uid="{9029925E-1C92-488F-A446-B8C162C6112D}"/>
    <cellStyle name="Normal 12 2 2 3 2 3" xfId="11457" xr:uid="{E3869293-75B1-4E35-8226-3C07CB3C695A}"/>
    <cellStyle name="Normal 12 2 2 3 3" xfId="5080" xr:uid="{00000000-0005-0000-0000-0000E60D0000}"/>
    <cellStyle name="Normal 12 2 2 3 3 2" xfId="13530" xr:uid="{83986577-A415-4436-928E-AC6F1320DC75}"/>
    <cellStyle name="Normal 12 2 2 3 4" xfId="9312" xr:uid="{CE3C3081-921A-4A9C-AD01-2E54D243BF1E}"/>
    <cellStyle name="Normal 12 2 2 4" xfId="1185" xr:uid="{00000000-0005-0000-0000-0000E70D0000}"/>
    <cellStyle name="Normal 12 2 2 4 2" xfId="3416" xr:uid="{00000000-0005-0000-0000-0000E80D0000}"/>
    <cellStyle name="Normal 12 2 2 4 2 2" xfId="7638" xr:uid="{00000000-0005-0000-0000-0000E90D0000}"/>
    <cellStyle name="Normal 12 2 2 4 2 2 2" xfId="16088" xr:uid="{8D7807BE-A958-4A71-86A6-51D21BE3B537}"/>
    <cellStyle name="Normal 12 2 2 4 2 3" xfId="11870" xr:uid="{C25947FF-81F8-4A07-A534-208D3EFECE8D}"/>
    <cellStyle name="Normal 12 2 2 4 3" xfId="5493" xr:uid="{00000000-0005-0000-0000-0000EA0D0000}"/>
    <cellStyle name="Normal 12 2 2 4 3 2" xfId="13943" xr:uid="{F7A227F3-7684-4F49-B134-2632E78B6356}"/>
    <cellStyle name="Normal 12 2 2 4 4" xfId="9725" xr:uid="{09C092E2-5991-435A-8394-5BDCC0147AE0}"/>
    <cellStyle name="Normal 12 2 2 5" xfId="1599" xr:uid="{00000000-0005-0000-0000-0000EB0D0000}"/>
    <cellStyle name="Normal 12 2 2 5 2" xfId="3829" xr:uid="{00000000-0005-0000-0000-0000EC0D0000}"/>
    <cellStyle name="Normal 12 2 2 5 2 2" xfId="8051" xr:uid="{00000000-0005-0000-0000-0000ED0D0000}"/>
    <cellStyle name="Normal 12 2 2 5 2 2 2" xfId="16501" xr:uid="{871426DF-4809-4EBF-8369-9028786F35F9}"/>
    <cellStyle name="Normal 12 2 2 5 2 3" xfId="12283" xr:uid="{2F7C115A-BC40-4EB3-9F03-CED8144EFB16}"/>
    <cellStyle name="Normal 12 2 2 5 3" xfId="5906" xr:uid="{00000000-0005-0000-0000-0000EE0D0000}"/>
    <cellStyle name="Normal 12 2 2 5 3 2" xfId="14356" xr:uid="{12CD1C8B-3DA3-4267-8FF2-6D43BAA899AF}"/>
    <cellStyle name="Normal 12 2 2 5 4" xfId="10138" xr:uid="{8F7C1FED-DA42-4643-B6EA-154E84FE7EF7}"/>
    <cellStyle name="Normal 12 2 2 6" xfId="2013" xr:uid="{00000000-0005-0000-0000-0000EF0D0000}"/>
    <cellStyle name="Normal 12 2 2 6 2" xfId="4242" xr:uid="{00000000-0005-0000-0000-0000F00D0000}"/>
    <cellStyle name="Normal 12 2 2 6 2 2" xfId="8464" xr:uid="{00000000-0005-0000-0000-0000F10D0000}"/>
    <cellStyle name="Normal 12 2 2 6 2 2 2" xfId="16914" xr:uid="{C2F87BC5-D474-45B6-BF52-2918A6BF14CB}"/>
    <cellStyle name="Normal 12 2 2 6 2 3" xfId="12696" xr:uid="{0F5DE88E-78C1-4084-97D0-13EA37E35248}"/>
    <cellStyle name="Normal 12 2 2 6 3" xfId="6319" xr:uid="{00000000-0005-0000-0000-0000F20D0000}"/>
    <cellStyle name="Normal 12 2 2 6 3 2" xfId="14769" xr:uid="{0379C3EB-B0F9-49FF-A075-0251A823479E}"/>
    <cellStyle name="Normal 12 2 2 6 4" xfId="10551" xr:uid="{4C48A082-4B70-48FD-8EF5-490290190CFB}"/>
    <cellStyle name="Normal 12 2 2 7" xfId="2449" xr:uid="{00000000-0005-0000-0000-0000F30D0000}"/>
    <cellStyle name="Normal 12 2 2 7 2" xfId="6732" xr:uid="{00000000-0005-0000-0000-0000F40D0000}"/>
    <cellStyle name="Normal 12 2 2 7 2 2" xfId="15182" xr:uid="{6EF87B79-6FD9-40FF-92E3-46E18B4FB872}"/>
    <cellStyle name="Normal 12 2 2 7 3" xfId="10964" xr:uid="{7C7B578A-11DD-49CB-83EC-3605F177FDEC}"/>
    <cellStyle name="Normal 12 2 2 8" xfId="4666" xr:uid="{00000000-0005-0000-0000-0000F50D0000}"/>
    <cellStyle name="Normal 12 2 2 8 2" xfId="13116" xr:uid="{0EBDAC42-6823-442E-840A-10AB96E76A45}"/>
    <cellStyle name="Normal 12 2 2 9" xfId="8898" xr:uid="{60865618-23F4-44EA-86B2-AF459FB416AC}"/>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2 2 2" xfId="15677" xr:uid="{F507A23F-9C4F-4356-9675-DBA99D4CAAA7}"/>
    <cellStyle name="Normal 12 2 3 2 2 3" xfId="11459" xr:uid="{91765AA6-1F93-4ED6-B5C9-03E6FC4A32F6}"/>
    <cellStyle name="Normal 12 2 3 2 3" xfId="5082" xr:uid="{00000000-0005-0000-0000-0000FA0D0000}"/>
    <cellStyle name="Normal 12 2 3 2 3 2" xfId="13532" xr:uid="{AB69B273-5822-4EEC-A6A1-165021D563FD}"/>
    <cellStyle name="Normal 12 2 3 2 4" xfId="9314" xr:uid="{1ADF5B4A-6E11-4346-A3A3-1B7D54F12183}"/>
    <cellStyle name="Normal 12 2 3 3" xfId="1187" xr:uid="{00000000-0005-0000-0000-0000FB0D0000}"/>
    <cellStyle name="Normal 12 2 3 3 2" xfId="3418" xr:uid="{00000000-0005-0000-0000-0000FC0D0000}"/>
    <cellStyle name="Normal 12 2 3 3 2 2" xfId="7640" xr:uid="{00000000-0005-0000-0000-0000FD0D0000}"/>
    <cellStyle name="Normal 12 2 3 3 2 2 2" xfId="16090" xr:uid="{59F16DAC-A684-4BFA-A565-D1F39821A025}"/>
    <cellStyle name="Normal 12 2 3 3 2 3" xfId="11872" xr:uid="{07CB2ED7-42FB-4D9D-A81F-C76E532658B4}"/>
    <cellStyle name="Normal 12 2 3 3 3" xfId="5495" xr:uid="{00000000-0005-0000-0000-0000FE0D0000}"/>
    <cellStyle name="Normal 12 2 3 3 3 2" xfId="13945" xr:uid="{58D41256-4981-4FE6-B910-78F091A2985F}"/>
    <cellStyle name="Normal 12 2 3 3 4" xfId="9727" xr:uid="{5FE52DD4-38D4-4323-9BB3-C386657E6727}"/>
    <cellStyle name="Normal 12 2 3 4" xfId="1601" xr:uid="{00000000-0005-0000-0000-0000FF0D0000}"/>
    <cellStyle name="Normal 12 2 3 4 2" xfId="3831" xr:uid="{00000000-0005-0000-0000-0000000E0000}"/>
    <cellStyle name="Normal 12 2 3 4 2 2" xfId="8053" xr:uid="{00000000-0005-0000-0000-0000010E0000}"/>
    <cellStyle name="Normal 12 2 3 4 2 2 2" xfId="16503" xr:uid="{16F9F4A5-5002-4634-AD5D-211C38FD5277}"/>
    <cellStyle name="Normal 12 2 3 4 2 3" xfId="12285" xr:uid="{96299E4A-47B1-4F41-86C7-E1828FA5ACBB}"/>
    <cellStyle name="Normal 12 2 3 4 3" xfId="5908" xr:uid="{00000000-0005-0000-0000-0000020E0000}"/>
    <cellStyle name="Normal 12 2 3 4 3 2" xfId="14358" xr:uid="{CC5F1EA0-7625-41C7-A5F4-8F5FC8AE123F}"/>
    <cellStyle name="Normal 12 2 3 4 4" xfId="10140" xr:uid="{A49CE434-4B78-4758-B846-17ADDCC6EA1B}"/>
    <cellStyle name="Normal 12 2 3 5" xfId="2015" xr:uid="{00000000-0005-0000-0000-0000030E0000}"/>
    <cellStyle name="Normal 12 2 3 5 2" xfId="4244" xr:uid="{00000000-0005-0000-0000-0000040E0000}"/>
    <cellStyle name="Normal 12 2 3 5 2 2" xfId="8466" xr:uid="{00000000-0005-0000-0000-0000050E0000}"/>
    <cellStyle name="Normal 12 2 3 5 2 2 2" xfId="16916" xr:uid="{9F076DA4-1628-4965-A8B6-7E467BDFBE3B}"/>
    <cellStyle name="Normal 12 2 3 5 2 3" xfId="12698" xr:uid="{F7CCDF27-B1AE-43B5-AE65-1FBAB5CD950D}"/>
    <cellStyle name="Normal 12 2 3 5 3" xfId="6321" xr:uid="{00000000-0005-0000-0000-0000060E0000}"/>
    <cellStyle name="Normal 12 2 3 5 3 2" xfId="14771" xr:uid="{ABE8E2D9-8853-4E75-8E9D-D3713FD2C10D}"/>
    <cellStyle name="Normal 12 2 3 5 4" xfId="10553" xr:uid="{77CD545B-D2CC-4EDA-A291-9B654CF5335B}"/>
    <cellStyle name="Normal 12 2 3 6" xfId="2451" xr:uid="{00000000-0005-0000-0000-0000070E0000}"/>
    <cellStyle name="Normal 12 2 3 6 2" xfId="6734" xr:uid="{00000000-0005-0000-0000-0000080E0000}"/>
    <cellStyle name="Normal 12 2 3 6 2 2" xfId="15184" xr:uid="{F7BEE878-0A16-4256-8A43-EC3370676070}"/>
    <cellStyle name="Normal 12 2 3 6 3" xfId="10966" xr:uid="{E673BA81-B3D9-472C-86BC-4D80001F0567}"/>
    <cellStyle name="Normal 12 2 3 7" xfId="4668" xr:uid="{00000000-0005-0000-0000-0000090E0000}"/>
    <cellStyle name="Normal 12 2 3 7 2" xfId="13118" xr:uid="{20F7F026-1866-4049-9D29-9FFAE28A8F98}"/>
    <cellStyle name="Normal 12 2 3 8" xfId="8900" xr:uid="{75012754-226F-492C-ADDE-CF13EC4606A5}"/>
    <cellStyle name="Normal 12 2 4" xfId="761" xr:uid="{00000000-0005-0000-0000-00000A0E0000}"/>
    <cellStyle name="Normal 12 2 4 2" xfId="3002" xr:uid="{00000000-0005-0000-0000-00000B0E0000}"/>
    <cellStyle name="Normal 12 2 4 2 2" xfId="7224" xr:uid="{00000000-0005-0000-0000-00000C0E0000}"/>
    <cellStyle name="Normal 12 2 4 2 2 2" xfId="15674" xr:uid="{6FFFFADB-DB75-4608-8678-C0916B279CCF}"/>
    <cellStyle name="Normal 12 2 4 2 3" xfId="11456" xr:uid="{4F063169-D4B2-42D6-B8C5-34E319F18278}"/>
    <cellStyle name="Normal 12 2 4 3" xfId="5079" xr:uid="{00000000-0005-0000-0000-00000D0E0000}"/>
    <cellStyle name="Normal 12 2 4 3 2" xfId="13529" xr:uid="{EA59FB18-B46C-413A-A7FD-B65304AB34D6}"/>
    <cellStyle name="Normal 12 2 4 4" xfId="9311" xr:uid="{7DECB217-4531-4054-A2AB-56F3B3621968}"/>
    <cellStyle name="Normal 12 2 5" xfId="1184" xr:uid="{00000000-0005-0000-0000-00000E0E0000}"/>
    <cellStyle name="Normal 12 2 5 2" xfId="3415" xr:uid="{00000000-0005-0000-0000-00000F0E0000}"/>
    <cellStyle name="Normal 12 2 5 2 2" xfId="7637" xr:uid="{00000000-0005-0000-0000-0000100E0000}"/>
    <cellStyle name="Normal 12 2 5 2 2 2" xfId="16087" xr:uid="{9CAA3341-D41A-4D21-96E0-9AFDCDFD9CF1}"/>
    <cellStyle name="Normal 12 2 5 2 3" xfId="11869" xr:uid="{70A2FCD2-1F1D-4285-8030-F4642999751C}"/>
    <cellStyle name="Normal 12 2 5 3" xfId="5492" xr:uid="{00000000-0005-0000-0000-0000110E0000}"/>
    <cellStyle name="Normal 12 2 5 3 2" xfId="13942" xr:uid="{822C93D3-CF9A-43AB-A4B4-3D6174879D5C}"/>
    <cellStyle name="Normal 12 2 5 4" xfId="9724" xr:uid="{4108332D-7E03-4170-9B5D-2159A9C5591C}"/>
    <cellStyle name="Normal 12 2 6" xfId="1598" xr:uid="{00000000-0005-0000-0000-0000120E0000}"/>
    <cellStyle name="Normal 12 2 6 2" xfId="3828" xr:uid="{00000000-0005-0000-0000-0000130E0000}"/>
    <cellStyle name="Normal 12 2 6 2 2" xfId="8050" xr:uid="{00000000-0005-0000-0000-0000140E0000}"/>
    <cellStyle name="Normal 12 2 6 2 2 2" xfId="16500" xr:uid="{1F5E2CBB-7FED-4DCB-9301-5AD61063ADAC}"/>
    <cellStyle name="Normal 12 2 6 2 3" xfId="12282" xr:uid="{F1422ECB-FC39-4406-9A8B-D42ECF2F9A68}"/>
    <cellStyle name="Normal 12 2 6 3" xfId="5905" xr:uid="{00000000-0005-0000-0000-0000150E0000}"/>
    <cellStyle name="Normal 12 2 6 3 2" xfId="14355" xr:uid="{746E8A71-BA4A-46C6-877A-95941EE4040D}"/>
    <cellStyle name="Normal 12 2 6 4" xfId="10137" xr:uid="{EB2F9C9B-FF89-4A2A-9608-EC7D0E27CA33}"/>
    <cellStyle name="Normal 12 2 7" xfId="2012" xr:uid="{00000000-0005-0000-0000-0000160E0000}"/>
    <cellStyle name="Normal 12 2 7 2" xfId="4241" xr:uid="{00000000-0005-0000-0000-0000170E0000}"/>
    <cellStyle name="Normal 12 2 7 2 2" xfId="8463" xr:uid="{00000000-0005-0000-0000-0000180E0000}"/>
    <cellStyle name="Normal 12 2 7 2 2 2" xfId="16913" xr:uid="{5B0AB34D-9FA3-4FAE-AF8C-144D1A7811E6}"/>
    <cellStyle name="Normal 12 2 7 2 3" xfId="12695" xr:uid="{32E7C8D1-3A92-43B3-9879-7321369B7EFD}"/>
    <cellStyle name="Normal 12 2 7 3" xfId="6318" xr:uid="{00000000-0005-0000-0000-0000190E0000}"/>
    <cellStyle name="Normal 12 2 7 3 2" xfId="14768" xr:uid="{2A326BC5-96CC-42F2-ACB0-175D87FBD4C7}"/>
    <cellStyle name="Normal 12 2 7 4" xfId="10550" xr:uid="{ECE6EC6B-18F4-4569-9E2E-E3671CA0C417}"/>
    <cellStyle name="Normal 12 2 8" xfId="2448" xr:uid="{00000000-0005-0000-0000-00001A0E0000}"/>
    <cellStyle name="Normal 12 2 8 2" xfId="6731" xr:uid="{00000000-0005-0000-0000-00001B0E0000}"/>
    <cellStyle name="Normal 12 2 8 2 2" xfId="15181" xr:uid="{CC5887B5-9D9E-4507-B629-C29AB97E45C2}"/>
    <cellStyle name="Normal 12 2 8 3" xfId="10963" xr:uid="{C32409E0-9C62-4DC3-80FB-BEEFFF1FBEC1}"/>
    <cellStyle name="Normal 12 2 9" xfId="4665" xr:uid="{00000000-0005-0000-0000-00001C0E0000}"/>
    <cellStyle name="Normal 12 2 9 2" xfId="13115" xr:uid="{B17D1431-A43B-4437-904F-E926D6F4612D}"/>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2 2 2" xfId="15679" xr:uid="{48232879-EE02-4800-9B25-628DAE077ADD}"/>
    <cellStyle name="Normal 12 3 2 2 2 3" xfId="11461" xr:uid="{9A004ADB-3149-4107-9A1A-EF7D8E0C23F8}"/>
    <cellStyle name="Normal 12 3 2 2 3" xfId="5084" xr:uid="{00000000-0005-0000-0000-0000220E0000}"/>
    <cellStyle name="Normal 12 3 2 2 3 2" xfId="13534" xr:uid="{9C38EA12-AD5B-4946-A356-ECF37EC83929}"/>
    <cellStyle name="Normal 12 3 2 2 4" xfId="9316" xr:uid="{DED6BC88-0AC7-4EB0-89CA-E3EB2498CBDD}"/>
    <cellStyle name="Normal 12 3 2 3" xfId="1189" xr:uid="{00000000-0005-0000-0000-0000230E0000}"/>
    <cellStyle name="Normal 12 3 2 3 2" xfId="3420" xr:uid="{00000000-0005-0000-0000-0000240E0000}"/>
    <cellStyle name="Normal 12 3 2 3 2 2" xfId="7642" xr:uid="{00000000-0005-0000-0000-0000250E0000}"/>
    <cellStyle name="Normal 12 3 2 3 2 2 2" xfId="16092" xr:uid="{E4189BF0-4732-4DB4-9130-F4229352F0C0}"/>
    <cellStyle name="Normal 12 3 2 3 2 3" xfId="11874" xr:uid="{FAD19984-1ED3-4D10-BF5F-C38DBBCD1B29}"/>
    <cellStyle name="Normal 12 3 2 3 3" xfId="5497" xr:uid="{00000000-0005-0000-0000-0000260E0000}"/>
    <cellStyle name="Normal 12 3 2 3 3 2" xfId="13947" xr:uid="{31F6722A-3175-4DE3-A7D2-61E9EFA9BA35}"/>
    <cellStyle name="Normal 12 3 2 3 4" xfId="9729" xr:uid="{C7F4C7E3-265C-45B3-A310-F68B06B83F90}"/>
    <cellStyle name="Normal 12 3 2 4" xfId="1603" xr:uid="{00000000-0005-0000-0000-0000270E0000}"/>
    <cellStyle name="Normal 12 3 2 4 2" xfId="3833" xr:uid="{00000000-0005-0000-0000-0000280E0000}"/>
    <cellStyle name="Normal 12 3 2 4 2 2" xfId="8055" xr:uid="{00000000-0005-0000-0000-0000290E0000}"/>
    <cellStyle name="Normal 12 3 2 4 2 2 2" xfId="16505" xr:uid="{41A05F39-8DA0-4AC9-8906-9D0B39EDF6F6}"/>
    <cellStyle name="Normal 12 3 2 4 2 3" xfId="12287" xr:uid="{369AD025-6196-4DEC-B9CB-CD6E57E21134}"/>
    <cellStyle name="Normal 12 3 2 4 3" xfId="5910" xr:uid="{00000000-0005-0000-0000-00002A0E0000}"/>
    <cellStyle name="Normal 12 3 2 4 3 2" xfId="14360" xr:uid="{4E773364-20C2-46D6-ACE0-FE5CA101AEBE}"/>
    <cellStyle name="Normal 12 3 2 4 4" xfId="10142" xr:uid="{94A6BC3C-D990-4A81-B1BC-78CBDD2EE385}"/>
    <cellStyle name="Normal 12 3 2 5" xfId="2017" xr:uid="{00000000-0005-0000-0000-00002B0E0000}"/>
    <cellStyle name="Normal 12 3 2 5 2" xfId="4246" xr:uid="{00000000-0005-0000-0000-00002C0E0000}"/>
    <cellStyle name="Normal 12 3 2 5 2 2" xfId="8468" xr:uid="{00000000-0005-0000-0000-00002D0E0000}"/>
    <cellStyle name="Normal 12 3 2 5 2 2 2" xfId="16918" xr:uid="{A4D33BC1-BC77-48BD-A967-07EA2B87A1DD}"/>
    <cellStyle name="Normal 12 3 2 5 2 3" xfId="12700" xr:uid="{157505F7-5F51-4536-BEBC-CEDFE3C0B1DA}"/>
    <cellStyle name="Normal 12 3 2 5 3" xfId="6323" xr:uid="{00000000-0005-0000-0000-00002E0E0000}"/>
    <cellStyle name="Normal 12 3 2 5 3 2" xfId="14773" xr:uid="{3A627E62-F4BD-4B5B-89EF-8EC8060EE46D}"/>
    <cellStyle name="Normal 12 3 2 5 4" xfId="10555" xr:uid="{83D7793B-8646-4DFA-BCFF-F527F5ED7844}"/>
    <cellStyle name="Normal 12 3 2 6" xfId="2453" xr:uid="{00000000-0005-0000-0000-00002F0E0000}"/>
    <cellStyle name="Normal 12 3 2 6 2" xfId="6736" xr:uid="{00000000-0005-0000-0000-0000300E0000}"/>
    <cellStyle name="Normal 12 3 2 6 2 2" xfId="15186" xr:uid="{38FC677F-3525-4E0A-8E94-BE0882E9FE04}"/>
    <cellStyle name="Normal 12 3 2 6 3" xfId="10968" xr:uid="{7B2A6C69-F6D2-4382-93E4-816DD40BC04A}"/>
    <cellStyle name="Normal 12 3 2 7" xfId="4670" xr:uid="{00000000-0005-0000-0000-0000310E0000}"/>
    <cellStyle name="Normal 12 3 2 7 2" xfId="13120" xr:uid="{7E6420B6-DEC7-406B-8A72-47690BC0DDC0}"/>
    <cellStyle name="Normal 12 3 2 8" xfId="8902" xr:uid="{64FEFB30-4D11-49CD-84E7-329C75BBADBD}"/>
    <cellStyle name="Normal 12 3 3" xfId="765" xr:uid="{00000000-0005-0000-0000-0000320E0000}"/>
    <cellStyle name="Normal 12 3 3 2" xfId="3006" xr:uid="{00000000-0005-0000-0000-0000330E0000}"/>
    <cellStyle name="Normal 12 3 3 2 2" xfId="7228" xr:uid="{00000000-0005-0000-0000-0000340E0000}"/>
    <cellStyle name="Normal 12 3 3 2 2 2" xfId="15678" xr:uid="{D1D5060D-E469-41FA-A764-05EA842E9D41}"/>
    <cellStyle name="Normal 12 3 3 2 3" xfId="11460" xr:uid="{E6D8F731-1E59-41DE-A2C6-279A57BAAFCD}"/>
    <cellStyle name="Normal 12 3 3 3" xfId="5083" xr:uid="{00000000-0005-0000-0000-0000350E0000}"/>
    <cellStyle name="Normal 12 3 3 3 2" xfId="13533" xr:uid="{C897F7F5-5842-43E9-9F84-151B85BE94B4}"/>
    <cellStyle name="Normal 12 3 3 4" xfId="9315" xr:uid="{331F2365-D840-4756-B59D-F19D55E54574}"/>
    <cellStyle name="Normal 12 3 4" xfId="1188" xr:uid="{00000000-0005-0000-0000-0000360E0000}"/>
    <cellStyle name="Normal 12 3 4 2" xfId="3419" xr:uid="{00000000-0005-0000-0000-0000370E0000}"/>
    <cellStyle name="Normal 12 3 4 2 2" xfId="7641" xr:uid="{00000000-0005-0000-0000-0000380E0000}"/>
    <cellStyle name="Normal 12 3 4 2 2 2" xfId="16091" xr:uid="{5CD4DD27-2962-4AFE-8429-C259BC1502D7}"/>
    <cellStyle name="Normal 12 3 4 2 3" xfId="11873" xr:uid="{AC56FEEA-5DCD-427C-97E4-161E5DD0AD2D}"/>
    <cellStyle name="Normal 12 3 4 3" xfId="5496" xr:uid="{00000000-0005-0000-0000-0000390E0000}"/>
    <cellStyle name="Normal 12 3 4 3 2" xfId="13946" xr:uid="{54BE5D2A-F309-43B2-A53A-DC65186428ED}"/>
    <cellStyle name="Normal 12 3 4 4" xfId="9728" xr:uid="{20457EBF-9D98-48C8-BE59-DA5BD68F95A3}"/>
    <cellStyle name="Normal 12 3 5" xfId="1602" xr:uid="{00000000-0005-0000-0000-00003A0E0000}"/>
    <cellStyle name="Normal 12 3 5 2" xfId="3832" xr:uid="{00000000-0005-0000-0000-00003B0E0000}"/>
    <cellStyle name="Normal 12 3 5 2 2" xfId="8054" xr:uid="{00000000-0005-0000-0000-00003C0E0000}"/>
    <cellStyle name="Normal 12 3 5 2 2 2" xfId="16504" xr:uid="{0D3D87E8-3689-4E79-9B70-AB1FF730E081}"/>
    <cellStyle name="Normal 12 3 5 2 3" xfId="12286" xr:uid="{88DD9C0C-4480-4FB5-AA12-D0378AFA1736}"/>
    <cellStyle name="Normal 12 3 5 3" xfId="5909" xr:uid="{00000000-0005-0000-0000-00003D0E0000}"/>
    <cellStyle name="Normal 12 3 5 3 2" xfId="14359" xr:uid="{D1F3534C-13C9-40CE-BF0A-562A7DE6BE56}"/>
    <cellStyle name="Normal 12 3 5 4" xfId="10141" xr:uid="{D53A6618-99C9-4AEF-8B58-22142D74F1F7}"/>
    <cellStyle name="Normal 12 3 6" xfId="2016" xr:uid="{00000000-0005-0000-0000-00003E0E0000}"/>
    <cellStyle name="Normal 12 3 6 2" xfId="4245" xr:uid="{00000000-0005-0000-0000-00003F0E0000}"/>
    <cellStyle name="Normal 12 3 6 2 2" xfId="8467" xr:uid="{00000000-0005-0000-0000-0000400E0000}"/>
    <cellStyle name="Normal 12 3 6 2 2 2" xfId="16917" xr:uid="{F2702B06-4A99-45A6-8D26-1DB6C2F887E8}"/>
    <cellStyle name="Normal 12 3 6 2 3" xfId="12699" xr:uid="{FA509172-6AFA-43BA-9A47-3DD615DD0C7D}"/>
    <cellStyle name="Normal 12 3 6 3" xfId="6322" xr:uid="{00000000-0005-0000-0000-0000410E0000}"/>
    <cellStyle name="Normal 12 3 6 3 2" xfId="14772" xr:uid="{AD5D930F-302A-4C83-859B-05E7E3871B01}"/>
    <cellStyle name="Normal 12 3 6 4" xfId="10554" xr:uid="{B30B24DF-90FA-40DD-9EA1-72B0D2FBEDDE}"/>
    <cellStyle name="Normal 12 3 7" xfId="2452" xr:uid="{00000000-0005-0000-0000-0000420E0000}"/>
    <cellStyle name="Normal 12 3 7 2" xfId="6735" xr:uid="{00000000-0005-0000-0000-0000430E0000}"/>
    <cellStyle name="Normal 12 3 7 2 2" xfId="15185" xr:uid="{C76AA439-8849-4ACE-9B8B-EEACF3DCD63A}"/>
    <cellStyle name="Normal 12 3 7 3" xfId="10967" xr:uid="{634F32DF-A808-41BB-8AB7-0B462ADAE33C}"/>
    <cellStyle name="Normal 12 3 8" xfId="4669" xr:uid="{00000000-0005-0000-0000-0000440E0000}"/>
    <cellStyle name="Normal 12 3 8 2" xfId="13119" xr:uid="{9FBDDFB2-783D-4C7A-A414-728AAFB7898C}"/>
    <cellStyle name="Normal 12 3 9" xfId="8901" xr:uid="{416BF291-9FAD-4E10-8004-C43E10B4DD08}"/>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2 2 2" xfId="15680" xr:uid="{BE440140-5CE1-48C6-9E63-BB2F7B9C1899}"/>
    <cellStyle name="Normal 12 4 2 2 3" xfId="11462" xr:uid="{1760E165-EF86-44DA-BC00-B3FFC0F797F1}"/>
    <cellStyle name="Normal 12 4 2 3" xfId="5085" xr:uid="{00000000-0005-0000-0000-0000490E0000}"/>
    <cellStyle name="Normal 12 4 2 3 2" xfId="13535" xr:uid="{626D73EE-4500-48E3-98EC-CCF6B369E24B}"/>
    <cellStyle name="Normal 12 4 2 4" xfId="9317" xr:uid="{17BD1AAA-CD29-4902-8664-075C567DDECB}"/>
    <cellStyle name="Normal 12 4 3" xfId="1190" xr:uid="{00000000-0005-0000-0000-00004A0E0000}"/>
    <cellStyle name="Normal 12 4 3 2" xfId="3421" xr:uid="{00000000-0005-0000-0000-00004B0E0000}"/>
    <cellStyle name="Normal 12 4 3 2 2" xfId="7643" xr:uid="{00000000-0005-0000-0000-00004C0E0000}"/>
    <cellStyle name="Normal 12 4 3 2 2 2" xfId="16093" xr:uid="{149F871F-00BF-4218-868D-27F911D7BC6F}"/>
    <cellStyle name="Normal 12 4 3 2 3" xfId="11875" xr:uid="{102AAD1A-2900-443F-BA74-17518B26F559}"/>
    <cellStyle name="Normal 12 4 3 3" xfId="5498" xr:uid="{00000000-0005-0000-0000-00004D0E0000}"/>
    <cellStyle name="Normal 12 4 3 3 2" xfId="13948" xr:uid="{983AC8B9-6DC2-4C90-A36F-CE9B3588A804}"/>
    <cellStyle name="Normal 12 4 3 4" xfId="9730" xr:uid="{12547031-04F9-4AF5-B564-C7437649BD24}"/>
    <cellStyle name="Normal 12 4 4" xfId="1604" xr:uid="{00000000-0005-0000-0000-00004E0E0000}"/>
    <cellStyle name="Normal 12 4 4 2" xfId="3834" xr:uid="{00000000-0005-0000-0000-00004F0E0000}"/>
    <cellStyle name="Normal 12 4 4 2 2" xfId="8056" xr:uid="{00000000-0005-0000-0000-0000500E0000}"/>
    <cellStyle name="Normal 12 4 4 2 2 2" xfId="16506" xr:uid="{8DAF21DC-3871-409B-96A7-18B5B793C0F2}"/>
    <cellStyle name="Normal 12 4 4 2 3" xfId="12288" xr:uid="{761238DF-335E-4273-BA7E-42E4CD5D38A5}"/>
    <cellStyle name="Normal 12 4 4 3" xfId="5911" xr:uid="{00000000-0005-0000-0000-0000510E0000}"/>
    <cellStyle name="Normal 12 4 4 3 2" xfId="14361" xr:uid="{F25F9DC2-2D94-428C-BF12-12C37A578F08}"/>
    <cellStyle name="Normal 12 4 4 4" xfId="10143" xr:uid="{5486F46E-B715-4111-BA14-993449D79A4C}"/>
    <cellStyle name="Normal 12 4 5" xfId="2018" xr:uid="{00000000-0005-0000-0000-0000520E0000}"/>
    <cellStyle name="Normal 12 4 5 2" xfId="4247" xr:uid="{00000000-0005-0000-0000-0000530E0000}"/>
    <cellStyle name="Normal 12 4 5 2 2" xfId="8469" xr:uid="{00000000-0005-0000-0000-0000540E0000}"/>
    <cellStyle name="Normal 12 4 5 2 2 2" xfId="16919" xr:uid="{06C2E91C-0BA5-4E2B-AAE2-FAEFCEC8CB66}"/>
    <cellStyle name="Normal 12 4 5 2 3" xfId="12701" xr:uid="{AD10E320-8ACF-452E-8A5C-0E92037BA0CC}"/>
    <cellStyle name="Normal 12 4 5 3" xfId="6324" xr:uid="{00000000-0005-0000-0000-0000550E0000}"/>
    <cellStyle name="Normal 12 4 5 3 2" xfId="14774" xr:uid="{BA80B550-0E65-4F55-BAA4-9675C50B76B9}"/>
    <cellStyle name="Normal 12 4 5 4" xfId="10556" xr:uid="{54762D89-8494-4153-829E-782500239FD5}"/>
    <cellStyle name="Normal 12 4 6" xfId="2454" xr:uid="{00000000-0005-0000-0000-0000560E0000}"/>
    <cellStyle name="Normal 12 4 6 2" xfId="6737" xr:uid="{00000000-0005-0000-0000-0000570E0000}"/>
    <cellStyle name="Normal 12 4 6 2 2" xfId="15187" xr:uid="{956D70A1-4446-4F0A-BC22-9D33D70849D0}"/>
    <cellStyle name="Normal 12 4 6 3" xfId="10969" xr:uid="{36738E40-AC7C-4AC0-BEA2-B94F459DCA23}"/>
    <cellStyle name="Normal 12 4 7" xfId="4671" xr:uid="{00000000-0005-0000-0000-0000580E0000}"/>
    <cellStyle name="Normal 12 4 7 2" xfId="13121" xr:uid="{713B63D5-9F8B-4F99-8E35-071CE79C2BD0}"/>
    <cellStyle name="Normal 12 4 8" xfId="8903" xr:uid="{1B230324-E434-4DF2-9808-C3A61A4DE63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2 2 2" xfId="15673" xr:uid="{313C0ADF-DA22-4F4B-AE16-76A3B0EA4EE0}"/>
    <cellStyle name="Normal 12 6 2 3" xfId="11455" xr:uid="{CA0C181C-FB99-4F8D-8062-3459D95F6650}"/>
    <cellStyle name="Normal 12 6 3" xfId="5078" xr:uid="{00000000-0005-0000-0000-00005D0E0000}"/>
    <cellStyle name="Normal 12 6 3 2" xfId="13528" xr:uid="{64FE0A63-C1A2-4921-B489-AC2A8E7BC1B0}"/>
    <cellStyle name="Normal 12 6 4" xfId="9310" xr:uid="{27376C9A-4B26-4B69-BC8A-55C669E30B5B}"/>
    <cellStyle name="Normal 12 7" xfId="1183" xr:uid="{00000000-0005-0000-0000-00005E0E0000}"/>
    <cellStyle name="Normal 12 7 2" xfId="3414" xr:uid="{00000000-0005-0000-0000-00005F0E0000}"/>
    <cellStyle name="Normal 12 7 2 2" xfId="7636" xr:uid="{00000000-0005-0000-0000-0000600E0000}"/>
    <cellStyle name="Normal 12 7 2 2 2" xfId="16086" xr:uid="{0EAA84ED-C423-40CB-9E0B-E2B533B4366C}"/>
    <cellStyle name="Normal 12 7 2 3" xfId="11868" xr:uid="{8F291156-1722-456B-BDB1-85CE762364C6}"/>
    <cellStyle name="Normal 12 7 3" xfId="5491" xr:uid="{00000000-0005-0000-0000-0000610E0000}"/>
    <cellStyle name="Normal 12 7 3 2" xfId="13941" xr:uid="{F5216E17-63C6-4A9A-A0F4-0FFB32104368}"/>
    <cellStyle name="Normal 12 7 4" xfId="9723" xr:uid="{1DD7B728-1EAA-473F-A363-164BD476925F}"/>
    <cellStyle name="Normal 12 8" xfId="1597" xr:uid="{00000000-0005-0000-0000-0000620E0000}"/>
    <cellStyle name="Normal 12 8 2" xfId="3827" xr:uid="{00000000-0005-0000-0000-0000630E0000}"/>
    <cellStyle name="Normal 12 8 2 2" xfId="8049" xr:uid="{00000000-0005-0000-0000-0000640E0000}"/>
    <cellStyle name="Normal 12 8 2 2 2" xfId="16499" xr:uid="{907AD553-1B1A-4425-A2D3-CAF02DBEA265}"/>
    <cellStyle name="Normal 12 8 2 3" xfId="12281" xr:uid="{7E2A77A5-C0F5-4797-B9DC-420F16224DA0}"/>
    <cellStyle name="Normal 12 8 3" xfId="5904" xr:uid="{00000000-0005-0000-0000-0000650E0000}"/>
    <cellStyle name="Normal 12 8 3 2" xfId="14354" xr:uid="{5A0A38FA-C70D-4273-B65A-594DB70DAEE3}"/>
    <cellStyle name="Normal 12 8 4" xfId="10136" xr:uid="{ACFB964C-A9BA-4EA9-9028-206B3F05ADB1}"/>
    <cellStyle name="Normal 12 9" xfId="2011" xr:uid="{00000000-0005-0000-0000-0000660E0000}"/>
    <cellStyle name="Normal 12 9 2" xfId="4240" xr:uid="{00000000-0005-0000-0000-0000670E0000}"/>
    <cellStyle name="Normal 12 9 2 2" xfId="8462" xr:uid="{00000000-0005-0000-0000-0000680E0000}"/>
    <cellStyle name="Normal 12 9 2 2 2" xfId="16912" xr:uid="{6502F765-FBD5-40B1-A5DF-216C04FCF732}"/>
    <cellStyle name="Normal 12 9 2 3" xfId="12694" xr:uid="{52D1AE38-8D21-4889-8376-9BF218D80577}"/>
    <cellStyle name="Normal 12 9 3" xfId="6317" xr:uid="{00000000-0005-0000-0000-0000690E0000}"/>
    <cellStyle name="Normal 12 9 3 2" xfId="14767" xr:uid="{AB0C2FE1-6E02-4CE2-BC25-5499DFAD59BF}"/>
    <cellStyle name="Normal 12 9 4" xfId="10549" xr:uid="{BD8A24CD-5FC8-4E50-A021-CBF7A8BF7F9C}"/>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2 2 2" xfId="15681" xr:uid="{80F1A320-AE43-47B5-9FE3-4AF8B6417C62}"/>
    <cellStyle name="Normal 14 2 2 3" xfId="11463" xr:uid="{09EBF649-1B69-4AFB-994B-F2715488BF9C}"/>
    <cellStyle name="Normal 14 2 3" xfId="5086" xr:uid="{00000000-0005-0000-0000-0000700E0000}"/>
    <cellStyle name="Normal 14 2 3 2" xfId="13536" xr:uid="{BD78B069-1FC3-4003-AAAC-27872AE9B90A}"/>
    <cellStyle name="Normal 14 2 4" xfId="9318" xr:uid="{FBAA9228-2F33-4015-A6E1-FE36E817C49C}"/>
    <cellStyle name="Normal 14 3" xfId="1191" xr:uid="{00000000-0005-0000-0000-0000710E0000}"/>
    <cellStyle name="Normal 14 3 2" xfId="3422" xr:uid="{00000000-0005-0000-0000-0000720E0000}"/>
    <cellStyle name="Normal 14 3 2 2" xfId="7644" xr:uid="{00000000-0005-0000-0000-0000730E0000}"/>
    <cellStyle name="Normal 14 3 2 2 2" xfId="16094" xr:uid="{6E2E69AD-6DBF-401D-938E-8505BEECA673}"/>
    <cellStyle name="Normal 14 3 2 3" xfId="11876" xr:uid="{7DA5F1CE-9859-4852-8C51-33D9CE6D91C4}"/>
    <cellStyle name="Normal 14 3 3" xfId="5499" xr:uid="{00000000-0005-0000-0000-0000740E0000}"/>
    <cellStyle name="Normal 14 3 3 2" xfId="13949" xr:uid="{67012982-4E7B-4652-9236-5BEA867C47D0}"/>
    <cellStyle name="Normal 14 3 4" xfId="9731" xr:uid="{B64936F7-5CBC-4B77-A07A-1B8174F0C410}"/>
    <cellStyle name="Normal 14 4" xfId="1605" xr:uid="{00000000-0005-0000-0000-0000750E0000}"/>
    <cellStyle name="Normal 14 4 2" xfId="3835" xr:uid="{00000000-0005-0000-0000-0000760E0000}"/>
    <cellStyle name="Normal 14 4 2 2" xfId="8057" xr:uid="{00000000-0005-0000-0000-0000770E0000}"/>
    <cellStyle name="Normal 14 4 2 2 2" xfId="16507" xr:uid="{0C555C33-6B5E-412B-93B2-0036E5B375B9}"/>
    <cellStyle name="Normal 14 4 2 3" xfId="12289" xr:uid="{A62D7E5B-0593-4445-AEFF-2A8FF3B53EDB}"/>
    <cellStyle name="Normal 14 4 3" xfId="5912" xr:uid="{00000000-0005-0000-0000-0000780E0000}"/>
    <cellStyle name="Normal 14 4 3 2" xfId="14362" xr:uid="{AA4E5F8C-BCC1-4972-A736-E889CF7E4EBF}"/>
    <cellStyle name="Normal 14 4 4" xfId="10144" xr:uid="{A3A3CBBA-DD23-4DA5-961E-2F8B608335F5}"/>
    <cellStyle name="Normal 14 5" xfId="2019" xr:uid="{00000000-0005-0000-0000-0000790E0000}"/>
    <cellStyle name="Normal 14 5 2" xfId="4248" xr:uid="{00000000-0005-0000-0000-00007A0E0000}"/>
    <cellStyle name="Normal 14 5 2 2" xfId="8470" xr:uid="{00000000-0005-0000-0000-00007B0E0000}"/>
    <cellStyle name="Normal 14 5 2 2 2" xfId="16920" xr:uid="{6C87F15D-13C0-4A82-961D-564315A0F8B7}"/>
    <cellStyle name="Normal 14 5 2 3" xfId="12702" xr:uid="{D5941450-4394-46C9-90AE-AB15CA42858E}"/>
    <cellStyle name="Normal 14 5 3" xfId="6325" xr:uid="{00000000-0005-0000-0000-00007C0E0000}"/>
    <cellStyle name="Normal 14 5 3 2" xfId="14775" xr:uid="{0F9288C7-6A99-4FE3-A33B-F446FD108498}"/>
    <cellStyle name="Normal 14 5 4" xfId="10557" xr:uid="{197D111B-2226-4CDD-9ACD-1E7F3D2B8D9E}"/>
    <cellStyle name="Normal 14 6" xfId="2455" xr:uid="{00000000-0005-0000-0000-00007D0E0000}"/>
    <cellStyle name="Normal 14 6 2" xfId="6738" xr:uid="{00000000-0005-0000-0000-00007E0E0000}"/>
    <cellStyle name="Normal 14 6 2 2" xfId="15188" xr:uid="{AA1D7851-4D7F-45B6-9336-0A215CAE93AA}"/>
    <cellStyle name="Normal 14 6 3" xfId="10970" xr:uid="{22F1EE3D-031D-4B47-B9B1-52DAFC3C8EFE}"/>
    <cellStyle name="Normal 14 7" xfId="4672" xr:uid="{00000000-0005-0000-0000-00007F0E0000}"/>
    <cellStyle name="Normal 14 7 2" xfId="13122" xr:uid="{F1F16353-CC58-417A-B059-D216208B3DB5}"/>
    <cellStyle name="Normal 14 8" xfId="8904" xr:uid="{ED2BA7E8-170C-404D-82FD-5237F7030151}"/>
    <cellStyle name="Normal 15" xfId="4496" xr:uid="{00000000-0005-0000-0000-0000800E0000}"/>
    <cellStyle name="Normal 15 2" xfId="12948" xr:uid="{1A0C6F6D-83A1-4119-9F15-B9BE21D73223}"/>
    <cellStyle name="Normal 16" xfId="4500" xr:uid="{00000000-0005-0000-0000-0000810E0000}"/>
    <cellStyle name="Normal 16 2" xfId="8715" xr:uid="{00000000-0005-0000-0000-0000820E0000}"/>
    <cellStyle name="Normal 16 2 2" xfId="17165" xr:uid="{99909117-26E1-46FE-B7EB-7CC4DC70C0F7}"/>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6 3 2 2 3" xfId="17174" xr:uid="{21768634-2DBA-4D2A-AB35-311B65F47B31}"/>
    <cellStyle name="Normal 16 3 2 3" xfId="17171" xr:uid="{BC6C319C-5314-4C8D-A407-91242F6AC42A}"/>
    <cellStyle name="Normal 16 3 3" xfId="17168" xr:uid="{8BAA9F5D-C8D4-4FFC-B402-BE7F490CF95C}"/>
    <cellStyle name="Normal 16 4" xfId="12951" xr:uid="{CCE8E27A-66D0-48C9-AA86-8EB8E814F103}"/>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2 2 2" xfId="16921" xr:uid="{ACF773D6-31E1-45A4-BC53-ED31BED106FE}"/>
    <cellStyle name="Normal 2 4 2 10 2 3" xfId="12703" xr:uid="{715AF9AB-7794-4653-9454-F4C0928E9C08}"/>
    <cellStyle name="Normal 2 4 2 10 3" xfId="6326" xr:uid="{00000000-0005-0000-0000-0000910E0000}"/>
    <cellStyle name="Normal 2 4 2 10 3 2" xfId="14776" xr:uid="{50DF957C-9FBA-4976-8CE3-0FD937BFFC49}"/>
    <cellStyle name="Normal 2 4 2 10 4" xfId="10558" xr:uid="{3AC53A41-A242-4614-AF99-37AFDE09188B}"/>
    <cellStyle name="Normal 2 4 2 11" xfId="2456" xr:uid="{00000000-0005-0000-0000-0000920E0000}"/>
    <cellStyle name="Normal 2 4 2 11 2" xfId="6739" xr:uid="{00000000-0005-0000-0000-0000930E0000}"/>
    <cellStyle name="Normal 2 4 2 11 2 2" xfId="15189" xr:uid="{1B5DF6C8-BF5D-49B3-A787-86910B774323}"/>
    <cellStyle name="Normal 2 4 2 11 3" xfId="10971" xr:uid="{25759936-C109-41FB-B28B-84F889F9ED35}"/>
    <cellStyle name="Normal 2 4 2 12" xfId="4673" xr:uid="{00000000-0005-0000-0000-0000940E0000}"/>
    <cellStyle name="Normal 2 4 2 12 2" xfId="13123" xr:uid="{19FD5636-2ED6-4629-AB4A-46AAB582856E}"/>
    <cellStyle name="Normal 2 4 2 13" xfId="8905" xr:uid="{0FADE3F1-D44A-49FB-94AD-785D7CB85809}"/>
    <cellStyle name="Normal 2 4 2 2" xfId="280" xr:uid="{00000000-0005-0000-0000-0000950E0000}"/>
    <cellStyle name="Normal 2 4 2 3" xfId="281" xr:uid="{00000000-0005-0000-0000-0000960E0000}"/>
    <cellStyle name="Normal 2 4 2 3 10" xfId="4674" xr:uid="{00000000-0005-0000-0000-0000970E0000}"/>
    <cellStyle name="Normal 2 4 2 3 10 2" xfId="13124" xr:uid="{1B9A245D-7CD0-4F38-AE01-4B6A2909812E}"/>
    <cellStyle name="Normal 2 4 2 3 11" xfId="8906" xr:uid="{52BB9253-7349-440C-A0E0-7652B8F04F91}"/>
    <cellStyle name="Normal 2 4 2 3 2" xfId="282" xr:uid="{00000000-0005-0000-0000-0000980E0000}"/>
    <cellStyle name="Normal 2 4 2 3 2 10" xfId="8907" xr:uid="{12D3811C-4EAD-42D5-97FD-013A957862D8}"/>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2 2 2" xfId="15686" xr:uid="{2BB20954-7749-41C4-88BE-B9CCDDA55B5B}"/>
    <cellStyle name="Normal 2 4 2 3 2 2 2 2 2 3" xfId="11468" xr:uid="{8F22901F-9730-44C4-B2C1-B8ABA595A6E5}"/>
    <cellStyle name="Normal 2 4 2 3 2 2 2 2 3" xfId="5091" xr:uid="{00000000-0005-0000-0000-00009E0E0000}"/>
    <cellStyle name="Normal 2 4 2 3 2 2 2 2 3 2" xfId="13541" xr:uid="{96DCF058-5B8F-4C49-A606-F8FC8441A817}"/>
    <cellStyle name="Normal 2 4 2 3 2 2 2 2 4" xfId="9323" xr:uid="{3A2216AE-8DF4-48B1-810C-DA921DBA5E4F}"/>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2 2 2" xfId="16099" xr:uid="{249DF1C8-6025-4869-88B7-58B5DC3BDBA4}"/>
    <cellStyle name="Normal 2 4 2 3 2 2 2 3 2 3" xfId="11881" xr:uid="{00CD9B56-FC30-4FF2-8CEF-C17857D25939}"/>
    <cellStyle name="Normal 2 4 2 3 2 2 2 3 3" xfId="5504" xr:uid="{00000000-0005-0000-0000-0000A20E0000}"/>
    <cellStyle name="Normal 2 4 2 3 2 2 2 3 3 2" xfId="13954" xr:uid="{2F4AAEC9-F7E0-4421-8FA5-504164AE038E}"/>
    <cellStyle name="Normal 2 4 2 3 2 2 2 3 4" xfId="9736" xr:uid="{8BB4326F-09C2-4198-8B8C-638AF0A5B98C}"/>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2 2 2" xfId="16512" xr:uid="{93B7193C-C90F-4DBF-A2AE-34D0DC95832F}"/>
    <cellStyle name="Normal 2 4 2 3 2 2 2 4 2 3" xfId="12294" xr:uid="{C19545C2-6A0F-48FD-8B56-8946F5768299}"/>
    <cellStyle name="Normal 2 4 2 3 2 2 2 4 3" xfId="5917" xr:uid="{00000000-0005-0000-0000-0000A60E0000}"/>
    <cellStyle name="Normal 2 4 2 3 2 2 2 4 3 2" xfId="14367" xr:uid="{0D2FD108-8220-49E0-ACEE-977878760B2A}"/>
    <cellStyle name="Normal 2 4 2 3 2 2 2 4 4" xfId="10149" xr:uid="{862E5FB4-EB33-47A0-AC1E-9E8CB3B295FA}"/>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2 2 2" xfId="16925" xr:uid="{6F912537-050A-4DE5-BFE5-C822EDBF1237}"/>
    <cellStyle name="Normal 2 4 2 3 2 2 2 5 2 3" xfId="12707" xr:uid="{BD586D17-F0DF-4340-8B93-2D846E1B2827}"/>
    <cellStyle name="Normal 2 4 2 3 2 2 2 5 3" xfId="6330" xr:uid="{00000000-0005-0000-0000-0000AA0E0000}"/>
    <cellStyle name="Normal 2 4 2 3 2 2 2 5 3 2" xfId="14780" xr:uid="{BFC1DB10-9621-4B57-A2D3-25BCB20A21F3}"/>
    <cellStyle name="Normal 2 4 2 3 2 2 2 5 4" xfId="10562" xr:uid="{948EE5DB-E54E-4EA4-94A6-04FD6D0A15BE}"/>
    <cellStyle name="Normal 2 4 2 3 2 2 2 6" xfId="2460" xr:uid="{00000000-0005-0000-0000-0000AB0E0000}"/>
    <cellStyle name="Normal 2 4 2 3 2 2 2 6 2" xfId="6743" xr:uid="{00000000-0005-0000-0000-0000AC0E0000}"/>
    <cellStyle name="Normal 2 4 2 3 2 2 2 6 2 2" xfId="15193" xr:uid="{E6113A40-589C-4A41-BBA4-4534163D3888}"/>
    <cellStyle name="Normal 2 4 2 3 2 2 2 6 3" xfId="10975" xr:uid="{11F76926-682B-4D1B-866C-293E7071AE61}"/>
    <cellStyle name="Normal 2 4 2 3 2 2 2 7" xfId="4677" xr:uid="{00000000-0005-0000-0000-0000AD0E0000}"/>
    <cellStyle name="Normal 2 4 2 3 2 2 2 7 2" xfId="13127" xr:uid="{1700F34C-D44E-409D-922C-322FA2E8EEAB}"/>
    <cellStyle name="Normal 2 4 2 3 2 2 2 8" xfId="8909" xr:uid="{24866AEF-104C-4DDE-A2F8-060366EE076F}"/>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2 2 2" xfId="15685" xr:uid="{AC2747B0-5D86-4533-86BC-54894B4C29BA}"/>
    <cellStyle name="Normal 2 4 2 3 2 2 3 2 3" xfId="11467" xr:uid="{83163C24-3331-4449-8DD7-D5D533CE54E8}"/>
    <cellStyle name="Normal 2 4 2 3 2 2 3 3" xfId="5090" xr:uid="{00000000-0005-0000-0000-0000B10E0000}"/>
    <cellStyle name="Normal 2 4 2 3 2 2 3 3 2" xfId="13540" xr:uid="{F01F71B4-0639-41D8-9311-D2BBA60DD7AB}"/>
    <cellStyle name="Normal 2 4 2 3 2 2 3 4" xfId="9322" xr:uid="{0FC0BB8D-EB1E-413E-AF86-D7152989AC64}"/>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2 2 2" xfId="16098" xr:uid="{62A61562-7F06-46C6-B74E-E678124CF7CC}"/>
    <cellStyle name="Normal 2 4 2 3 2 2 4 2 3" xfId="11880" xr:uid="{62B940A8-7C95-4B1E-9329-546F07BB2CE4}"/>
    <cellStyle name="Normal 2 4 2 3 2 2 4 3" xfId="5503" xr:uid="{00000000-0005-0000-0000-0000B50E0000}"/>
    <cellStyle name="Normal 2 4 2 3 2 2 4 3 2" xfId="13953" xr:uid="{B1C30707-D05B-42AA-8DD2-2E59C7EA70B7}"/>
    <cellStyle name="Normal 2 4 2 3 2 2 4 4" xfId="9735" xr:uid="{B8E07572-3467-41E6-BFF0-B30F66116398}"/>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2 2 2" xfId="16511" xr:uid="{6A595599-4058-4C13-9B44-F79AC749D895}"/>
    <cellStyle name="Normal 2 4 2 3 2 2 5 2 3" xfId="12293" xr:uid="{75F85B06-3523-4779-B88A-B11D1D8E1467}"/>
    <cellStyle name="Normal 2 4 2 3 2 2 5 3" xfId="5916" xr:uid="{00000000-0005-0000-0000-0000B90E0000}"/>
    <cellStyle name="Normal 2 4 2 3 2 2 5 3 2" xfId="14366" xr:uid="{0B1F5D14-276A-4FA2-9137-0F84B6C877EB}"/>
    <cellStyle name="Normal 2 4 2 3 2 2 5 4" xfId="10148" xr:uid="{C981E0AA-8169-4B08-B6F3-811D19C8C7B3}"/>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2 2 2" xfId="16924" xr:uid="{F5C57711-A79A-4D8D-B05E-EA8669B7BCAD}"/>
    <cellStyle name="Normal 2 4 2 3 2 2 6 2 3" xfId="12706" xr:uid="{59C0D3F0-6A5C-4FD5-8B66-04908551AD4A}"/>
    <cellStyle name="Normal 2 4 2 3 2 2 6 3" xfId="6329" xr:uid="{00000000-0005-0000-0000-0000BD0E0000}"/>
    <cellStyle name="Normal 2 4 2 3 2 2 6 3 2" xfId="14779" xr:uid="{48A8F989-5D20-420B-A730-73344029035B}"/>
    <cellStyle name="Normal 2 4 2 3 2 2 6 4" xfId="10561" xr:uid="{1E7E9BCA-B1B4-4704-9F74-784CFB84FC76}"/>
    <cellStyle name="Normal 2 4 2 3 2 2 7" xfId="2459" xr:uid="{00000000-0005-0000-0000-0000BE0E0000}"/>
    <cellStyle name="Normal 2 4 2 3 2 2 7 2" xfId="6742" xr:uid="{00000000-0005-0000-0000-0000BF0E0000}"/>
    <cellStyle name="Normal 2 4 2 3 2 2 7 2 2" xfId="15192" xr:uid="{0331FAB5-8CBA-4BDC-904C-918D8ADD9254}"/>
    <cellStyle name="Normal 2 4 2 3 2 2 7 3" xfId="10974" xr:uid="{49218C2B-FC3F-40DD-ABFD-67D656AAD16F}"/>
    <cellStyle name="Normal 2 4 2 3 2 2 8" xfId="4676" xr:uid="{00000000-0005-0000-0000-0000C00E0000}"/>
    <cellStyle name="Normal 2 4 2 3 2 2 8 2" xfId="13126" xr:uid="{E43E111A-6551-41B9-8443-65F695A98A46}"/>
    <cellStyle name="Normal 2 4 2 3 2 2 9" xfId="8908" xr:uid="{7B5E5DBF-0757-4ACB-B550-A5333D08F6C8}"/>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2 2 2" xfId="15687" xr:uid="{50401DA1-A6E7-4B23-855E-9A9BA3901E19}"/>
    <cellStyle name="Normal 2 4 2 3 2 3 2 2 3" xfId="11469" xr:uid="{3DD9E072-B147-40EB-93FC-44E3C5C97F84}"/>
    <cellStyle name="Normal 2 4 2 3 2 3 2 3" xfId="5092" xr:uid="{00000000-0005-0000-0000-0000C50E0000}"/>
    <cellStyle name="Normal 2 4 2 3 2 3 2 3 2" xfId="13542" xr:uid="{8EADC545-2F8A-486F-AAAB-7CA702ACFA19}"/>
    <cellStyle name="Normal 2 4 2 3 2 3 2 4" xfId="9324" xr:uid="{70ACC025-96AC-413F-87C3-974790A9BC6F}"/>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2 2 2" xfId="16100" xr:uid="{3BF6C485-9AF2-4327-BD05-498BA48E144A}"/>
    <cellStyle name="Normal 2 4 2 3 2 3 3 2 3" xfId="11882" xr:uid="{E4423FF7-57EA-4B53-8FD8-C9E289127DCC}"/>
    <cellStyle name="Normal 2 4 2 3 2 3 3 3" xfId="5505" xr:uid="{00000000-0005-0000-0000-0000C90E0000}"/>
    <cellStyle name="Normal 2 4 2 3 2 3 3 3 2" xfId="13955" xr:uid="{6C7E0BEE-D20B-488A-AD79-6FEDC6898241}"/>
    <cellStyle name="Normal 2 4 2 3 2 3 3 4" xfId="9737" xr:uid="{F84DF6D3-A671-48C0-839D-991C7FF67EA8}"/>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2 2 2" xfId="16513" xr:uid="{081996D5-3A5E-44DC-BA6A-60304635CE02}"/>
    <cellStyle name="Normal 2 4 2 3 2 3 4 2 3" xfId="12295" xr:uid="{1A461F84-E581-4975-BA75-8F539A338D49}"/>
    <cellStyle name="Normal 2 4 2 3 2 3 4 3" xfId="5918" xr:uid="{00000000-0005-0000-0000-0000CD0E0000}"/>
    <cellStyle name="Normal 2 4 2 3 2 3 4 3 2" xfId="14368" xr:uid="{C7855B11-B440-40C5-98D7-73AAA88E8EA6}"/>
    <cellStyle name="Normal 2 4 2 3 2 3 4 4" xfId="10150" xr:uid="{A76BAA14-1149-4B4B-B7C7-74186E45AC6B}"/>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2 2 2" xfId="16926" xr:uid="{03972A34-70B8-4F8A-B526-605E4D59D6A1}"/>
    <cellStyle name="Normal 2 4 2 3 2 3 5 2 3" xfId="12708" xr:uid="{D7D1C47B-CF29-42D3-86F7-ED4F04C8F12B}"/>
    <cellStyle name="Normal 2 4 2 3 2 3 5 3" xfId="6331" xr:uid="{00000000-0005-0000-0000-0000D10E0000}"/>
    <cellStyle name="Normal 2 4 2 3 2 3 5 3 2" xfId="14781" xr:uid="{CD2312D6-414E-4D5E-A180-B4617C343EDE}"/>
    <cellStyle name="Normal 2 4 2 3 2 3 5 4" xfId="10563" xr:uid="{98E1B826-CAD1-4754-86AF-FDBBB3BAD37C}"/>
    <cellStyle name="Normal 2 4 2 3 2 3 6" xfId="2461" xr:uid="{00000000-0005-0000-0000-0000D20E0000}"/>
    <cellStyle name="Normal 2 4 2 3 2 3 6 2" xfId="6744" xr:uid="{00000000-0005-0000-0000-0000D30E0000}"/>
    <cellStyle name="Normal 2 4 2 3 2 3 6 2 2" xfId="15194" xr:uid="{EC010A72-2448-47BA-8F5A-EC36CF76E7AD}"/>
    <cellStyle name="Normal 2 4 2 3 2 3 6 3" xfId="10976" xr:uid="{6D049DAD-C245-4288-9113-83E982595892}"/>
    <cellStyle name="Normal 2 4 2 3 2 3 7" xfId="4678" xr:uid="{00000000-0005-0000-0000-0000D40E0000}"/>
    <cellStyle name="Normal 2 4 2 3 2 3 7 2" xfId="13128" xr:uid="{0E9040BF-CD98-4BAF-954A-42DEA7BAC816}"/>
    <cellStyle name="Normal 2 4 2 3 2 3 8" xfId="8910" xr:uid="{8F31F8B3-84A4-40D8-A15A-1A92C28B42CB}"/>
    <cellStyle name="Normal 2 4 2 3 2 4" xfId="773" xr:uid="{00000000-0005-0000-0000-0000D50E0000}"/>
    <cellStyle name="Normal 2 4 2 3 2 4 2" xfId="3012" xr:uid="{00000000-0005-0000-0000-0000D60E0000}"/>
    <cellStyle name="Normal 2 4 2 3 2 4 2 2" xfId="7234" xr:uid="{00000000-0005-0000-0000-0000D70E0000}"/>
    <cellStyle name="Normal 2 4 2 3 2 4 2 2 2" xfId="15684" xr:uid="{65D86206-18F2-4C02-A9F9-1CA6A563A172}"/>
    <cellStyle name="Normal 2 4 2 3 2 4 2 3" xfId="11466" xr:uid="{547089EC-C866-4BA5-84A6-5A30A775395D}"/>
    <cellStyle name="Normal 2 4 2 3 2 4 3" xfId="5089" xr:uid="{00000000-0005-0000-0000-0000D80E0000}"/>
    <cellStyle name="Normal 2 4 2 3 2 4 3 2" xfId="13539" xr:uid="{D334C77C-F2D8-4CB1-9123-0F5DCA0BCC03}"/>
    <cellStyle name="Normal 2 4 2 3 2 4 4" xfId="9321" xr:uid="{B8A4A1DA-F669-49C2-819E-38667A44562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2 2 2" xfId="16097" xr:uid="{68AFF467-ADB0-454D-ACAB-AF6974BDF2B8}"/>
    <cellStyle name="Normal 2 4 2 3 2 5 2 3" xfId="11879" xr:uid="{448FBC66-8D29-45EF-A965-BE31E728DFB5}"/>
    <cellStyle name="Normal 2 4 2 3 2 5 3" xfId="5502" xr:uid="{00000000-0005-0000-0000-0000DC0E0000}"/>
    <cellStyle name="Normal 2 4 2 3 2 5 3 2" xfId="13952" xr:uid="{B724894C-6E3D-4326-858E-E553A01B90CD}"/>
    <cellStyle name="Normal 2 4 2 3 2 5 4" xfId="9734" xr:uid="{BEB0B89E-3FA0-414C-9459-961790FC1D93}"/>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2 2 2" xfId="16510" xr:uid="{844BE44B-A1BB-40C9-BBB2-74057DD3AD05}"/>
    <cellStyle name="Normal 2 4 2 3 2 6 2 3" xfId="12292" xr:uid="{60586D0C-5ACA-4290-9BE1-96054286FA6E}"/>
    <cellStyle name="Normal 2 4 2 3 2 6 3" xfId="5915" xr:uid="{00000000-0005-0000-0000-0000E00E0000}"/>
    <cellStyle name="Normal 2 4 2 3 2 6 3 2" xfId="14365" xr:uid="{74DE304A-E191-442A-88C9-C1AA68FD77D9}"/>
    <cellStyle name="Normal 2 4 2 3 2 6 4" xfId="10147" xr:uid="{738607CE-BE1D-426F-9958-7E7B1A4C1041}"/>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2 2 2" xfId="16923" xr:uid="{CFABAF5C-4B81-43B1-A7F0-7EDDF989E9B9}"/>
    <cellStyle name="Normal 2 4 2 3 2 7 2 3" xfId="12705" xr:uid="{3A92DE2D-6C7E-46EB-ABAC-B5F1FEEF2A9F}"/>
    <cellStyle name="Normal 2 4 2 3 2 7 3" xfId="6328" xr:uid="{00000000-0005-0000-0000-0000E40E0000}"/>
    <cellStyle name="Normal 2 4 2 3 2 7 3 2" xfId="14778" xr:uid="{424C7F4F-DECD-4A3A-BC74-5CFDD959E984}"/>
    <cellStyle name="Normal 2 4 2 3 2 7 4" xfId="10560" xr:uid="{78A768CD-4D07-497B-B803-CB7185DEABBE}"/>
    <cellStyle name="Normal 2 4 2 3 2 8" xfId="2458" xr:uid="{00000000-0005-0000-0000-0000E50E0000}"/>
    <cellStyle name="Normal 2 4 2 3 2 8 2" xfId="6741" xr:uid="{00000000-0005-0000-0000-0000E60E0000}"/>
    <cellStyle name="Normal 2 4 2 3 2 8 2 2" xfId="15191" xr:uid="{72356270-D060-4E1A-91E8-7BF99A7596E3}"/>
    <cellStyle name="Normal 2 4 2 3 2 8 3" xfId="10973" xr:uid="{0C4AE288-9DD2-4FA6-AE92-97AD86BF4FA8}"/>
    <cellStyle name="Normal 2 4 2 3 2 9" xfId="4675" xr:uid="{00000000-0005-0000-0000-0000E70E0000}"/>
    <cellStyle name="Normal 2 4 2 3 2 9 2" xfId="13125" xr:uid="{804678D9-91D2-4A1A-8C5A-B3A442CF3164}"/>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2 2 2" xfId="15689" xr:uid="{B625A375-0750-42A9-8B3D-B1A1E8A2037C}"/>
    <cellStyle name="Normal 2 4 2 3 3 2 2 2 3" xfId="11471" xr:uid="{16E9E8F7-BAD4-4FD7-9565-E1C4490C8A0C}"/>
    <cellStyle name="Normal 2 4 2 3 3 2 2 3" xfId="5094" xr:uid="{00000000-0005-0000-0000-0000ED0E0000}"/>
    <cellStyle name="Normal 2 4 2 3 3 2 2 3 2" xfId="13544" xr:uid="{959FFF0D-60DE-4FF8-BD24-E1DA51BF6C4A}"/>
    <cellStyle name="Normal 2 4 2 3 3 2 2 4" xfId="9326" xr:uid="{4AAEE59B-31E6-4F1C-AEEA-D8A2B0D242FA}"/>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2 2 2" xfId="16102" xr:uid="{7E7089F2-518E-4530-AAB8-BDB2BA431A68}"/>
    <cellStyle name="Normal 2 4 2 3 3 2 3 2 3" xfId="11884" xr:uid="{9FDDF82D-6C1F-4D70-9834-F7CACFC2776E}"/>
    <cellStyle name="Normal 2 4 2 3 3 2 3 3" xfId="5507" xr:uid="{00000000-0005-0000-0000-0000F10E0000}"/>
    <cellStyle name="Normal 2 4 2 3 3 2 3 3 2" xfId="13957" xr:uid="{7B4B8406-5854-463B-A1AA-329D9A9CEC2F}"/>
    <cellStyle name="Normal 2 4 2 3 3 2 3 4" xfId="9739" xr:uid="{9950A0F3-305B-4FEC-988B-3BB3DEBBED3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2 2 2" xfId="16515" xr:uid="{7AC8F36D-293B-4485-A121-CEB2246CDCE1}"/>
    <cellStyle name="Normal 2 4 2 3 3 2 4 2 3" xfId="12297" xr:uid="{179D9D03-E166-41C4-A25E-08547A6ECDBE}"/>
    <cellStyle name="Normal 2 4 2 3 3 2 4 3" xfId="5920" xr:uid="{00000000-0005-0000-0000-0000F50E0000}"/>
    <cellStyle name="Normal 2 4 2 3 3 2 4 3 2" xfId="14370" xr:uid="{AE8A8D3A-B055-4DBE-A989-406290BDEE76}"/>
    <cellStyle name="Normal 2 4 2 3 3 2 4 4" xfId="10152" xr:uid="{3DA5E1E8-D94D-4244-BAED-17E2AE9778C1}"/>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2 2 2" xfId="16928" xr:uid="{4872E549-8B15-4B6F-BCCA-41BAB28B451A}"/>
    <cellStyle name="Normal 2 4 2 3 3 2 5 2 3" xfId="12710" xr:uid="{0D94500B-2C2F-4268-AEB4-E39F25157F4C}"/>
    <cellStyle name="Normal 2 4 2 3 3 2 5 3" xfId="6333" xr:uid="{00000000-0005-0000-0000-0000F90E0000}"/>
    <cellStyle name="Normal 2 4 2 3 3 2 5 3 2" xfId="14783" xr:uid="{4D918236-A495-4E1E-9B56-2EC9F8C28A25}"/>
    <cellStyle name="Normal 2 4 2 3 3 2 5 4" xfId="10565" xr:uid="{F879C8D1-90C6-4F77-BEE4-A36649CD4681}"/>
    <cellStyle name="Normal 2 4 2 3 3 2 6" xfId="2463" xr:uid="{00000000-0005-0000-0000-0000FA0E0000}"/>
    <cellStyle name="Normal 2 4 2 3 3 2 6 2" xfId="6746" xr:uid="{00000000-0005-0000-0000-0000FB0E0000}"/>
    <cellStyle name="Normal 2 4 2 3 3 2 6 2 2" xfId="15196" xr:uid="{0AACF647-63EA-4322-93C2-F9E33803010D}"/>
    <cellStyle name="Normal 2 4 2 3 3 2 6 3" xfId="10978" xr:uid="{C7E4C784-4DD3-4790-95CF-B024AC789A91}"/>
    <cellStyle name="Normal 2 4 2 3 3 2 7" xfId="4680" xr:uid="{00000000-0005-0000-0000-0000FC0E0000}"/>
    <cellStyle name="Normal 2 4 2 3 3 2 7 2" xfId="13130" xr:uid="{602DE226-B095-4269-9E4C-A8E67D0EEEC5}"/>
    <cellStyle name="Normal 2 4 2 3 3 2 8" xfId="8912" xr:uid="{2A3D5C74-5B86-429D-AA2F-3D8C61525ABC}"/>
    <cellStyle name="Normal 2 4 2 3 3 3" xfId="777" xr:uid="{00000000-0005-0000-0000-0000FD0E0000}"/>
    <cellStyle name="Normal 2 4 2 3 3 3 2" xfId="3016" xr:uid="{00000000-0005-0000-0000-0000FE0E0000}"/>
    <cellStyle name="Normal 2 4 2 3 3 3 2 2" xfId="7238" xr:uid="{00000000-0005-0000-0000-0000FF0E0000}"/>
    <cellStyle name="Normal 2 4 2 3 3 3 2 2 2" xfId="15688" xr:uid="{D66CE1F5-E73A-4AEE-9C13-DCA9E86D5857}"/>
    <cellStyle name="Normal 2 4 2 3 3 3 2 3" xfId="11470" xr:uid="{467F1C88-45B7-4F18-BA9B-9F8853754688}"/>
    <cellStyle name="Normal 2 4 2 3 3 3 3" xfId="5093" xr:uid="{00000000-0005-0000-0000-0000000F0000}"/>
    <cellStyle name="Normal 2 4 2 3 3 3 3 2" xfId="13543" xr:uid="{C608822B-15E6-4AF8-9870-46461B8D1735}"/>
    <cellStyle name="Normal 2 4 2 3 3 3 4" xfId="9325" xr:uid="{D9AD5DB1-4753-4E3A-A88B-11129D6D6F4C}"/>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2 2 2" xfId="16101" xr:uid="{1F1CA505-6D90-4DDA-AB53-3A3337028890}"/>
    <cellStyle name="Normal 2 4 2 3 3 4 2 3" xfId="11883" xr:uid="{34F0C704-E415-4F87-96B3-B44D5CB56404}"/>
    <cellStyle name="Normal 2 4 2 3 3 4 3" xfId="5506" xr:uid="{00000000-0005-0000-0000-0000040F0000}"/>
    <cellStyle name="Normal 2 4 2 3 3 4 3 2" xfId="13956" xr:uid="{A35AB86F-3F3F-44DF-A06F-3F8DC5560643}"/>
    <cellStyle name="Normal 2 4 2 3 3 4 4" xfId="9738" xr:uid="{09BCD565-C95A-4E46-A2BF-F740441BE643}"/>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2 2 2" xfId="16514" xr:uid="{B56EEF38-16E9-40BA-9324-B6F17F5E2064}"/>
    <cellStyle name="Normal 2 4 2 3 3 5 2 3" xfId="12296" xr:uid="{A52BD704-25B4-4FD4-92F3-4B934E01CA4A}"/>
    <cellStyle name="Normal 2 4 2 3 3 5 3" xfId="5919" xr:uid="{00000000-0005-0000-0000-0000080F0000}"/>
    <cellStyle name="Normal 2 4 2 3 3 5 3 2" xfId="14369" xr:uid="{4A68AEAB-9F18-47B6-BCB0-9D6303685EE3}"/>
    <cellStyle name="Normal 2 4 2 3 3 5 4" xfId="10151" xr:uid="{E69C9263-ECEF-4A80-A9B0-EF3D4EA02337}"/>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2 2 2" xfId="16927" xr:uid="{F36D99F9-1985-493D-B0C0-E3E24424B9A3}"/>
    <cellStyle name="Normal 2 4 2 3 3 6 2 3" xfId="12709" xr:uid="{5F4E35A6-9322-447B-B3B4-4A7FD00930C4}"/>
    <cellStyle name="Normal 2 4 2 3 3 6 3" xfId="6332" xr:uid="{00000000-0005-0000-0000-00000C0F0000}"/>
    <cellStyle name="Normal 2 4 2 3 3 6 3 2" xfId="14782" xr:uid="{BD7260C1-663D-4ECD-86F2-03A3C8ED267A}"/>
    <cellStyle name="Normal 2 4 2 3 3 6 4" xfId="10564" xr:uid="{99282667-39E2-4818-859D-14D112EDB3CA}"/>
    <cellStyle name="Normal 2 4 2 3 3 7" xfId="2462" xr:uid="{00000000-0005-0000-0000-00000D0F0000}"/>
    <cellStyle name="Normal 2 4 2 3 3 7 2" xfId="6745" xr:uid="{00000000-0005-0000-0000-00000E0F0000}"/>
    <cellStyle name="Normal 2 4 2 3 3 7 2 2" xfId="15195" xr:uid="{0D806866-7F08-48D9-B89F-1F3F4C888057}"/>
    <cellStyle name="Normal 2 4 2 3 3 7 3" xfId="10977" xr:uid="{987A1926-8B72-42A1-99C7-3E8BC61CB122}"/>
    <cellStyle name="Normal 2 4 2 3 3 8" xfId="4679" xr:uid="{00000000-0005-0000-0000-00000F0F0000}"/>
    <cellStyle name="Normal 2 4 2 3 3 8 2" xfId="13129" xr:uid="{161CA887-C610-4856-8635-932B564886D8}"/>
    <cellStyle name="Normal 2 4 2 3 3 9" xfId="8911" xr:uid="{C401692F-5D02-4E12-B63A-022820F5A4C6}"/>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2 2 2" xfId="15690" xr:uid="{FDDC7A89-E714-4FC4-8C08-1B243C1665D1}"/>
    <cellStyle name="Normal 2 4 2 3 4 2 2 3" xfId="11472" xr:uid="{FF4C3596-A077-4508-9794-27DA06ACD2E9}"/>
    <cellStyle name="Normal 2 4 2 3 4 2 3" xfId="5095" xr:uid="{00000000-0005-0000-0000-0000140F0000}"/>
    <cellStyle name="Normal 2 4 2 3 4 2 3 2" xfId="13545" xr:uid="{94F1CBD7-8BFE-4195-AEC3-6168595C6790}"/>
    <cellStyle name="Normal 2 4 2 3 4 2 4" xfId="9327" xr:uid="{6CC4570F-B06C-4927-A5C6-18819A8A53E3}"/>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2 2 2" xfId="16103" xr:uid="{930BD03F-7394-4652-81A0-381CE1F7438E}"/>
    <cellStyle name="Normal 2 4 2 3 4 3 2 3" xfId="11885" xr:uid="{A1065368-DF45-4BA5-A32A-06A70D4634F9}"/>
    <cellStyle name="Normal 2 4 2 3 4 3 3" xfId="5508" xr:uid="{00000000-0005-0000-0000-0000180F0000}"/>
    <cellStyle name="Normal 2 4 2 3 4 3 3 2" xfId="13958" xr:uid="{56687E49-03AF-4A60-8C4B-4F2FE0C9F1E8}"/>
    <cellStyle name="Normal 2 4 2 3 4 3 4" xfId="9740" xr:uid="{02489D23-679B-4155-83EB-AC2661A6F36B}"/>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2 2 2" xfId="16516" xr:uid="{2390AB6F-4216-4F7A-B5D8-B26915739FB8}"/>
    <cellStyle name="Normal 2 4 2 3 4 4 2 3" xfId="12298" xr:uid="{D9A8B880-4B0A-44A3-BBDB-1CB47569AA99}"/>
    <cellStyle name="Normal 2 4 2 3 4 4 3" xfId="5921" xr:uid="{00000000-0005-0000-0000-00001C0F0000}"/>
    <cellStyle name="Normal 2 4 2 3 4 4 3 2" xfId="14371" xr:uid="{B4E44175-7767-40F5-AC40-FD62592233D3}"/>
    <cellStyle name="Normal 2 4 2 3 4 4 4" xfId="10153" xr:uid="{D7AAE835-DD8C-4445-8C0A-2D78BF8F6DA1}"/>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2 2 2" xfId="16929" xr:uid="{0D100741-C784-45E6-8727-295CFAC5CA88}"/>
    <cellStyle name="Normal 2 4 2 3 4 5 2 3" xfId="12711" xr:uid="{6CF7B8A9-F49E-499B-BFFD-FBD0CDD06194}"/>
    <cellStyle name="Normal 2 4 2 3 4 5 3" xfId="6334" xr:uid="{00000000-0005-0000-0000-0000200F0000}"/>
    <cellStyle name="Normal 2 4 2 3 4 5 3 2" xfId="14784" xr:uid="{D11EA86F-9F74-4F57-8268-53D21EC16B8D}"/>
    <cellStyle name="Normal 2 4 2 3 4 5 4" xfId="10566" xr:uid="{7AC2C76F-7240-4171-98B0-62A4EF5385D4}"/>
    <cellStyle name="Normal 2 4 2 3 4 6" xfId="2464" xr:uid="{00000000-0005-0000-0000-0000210F0000}"/>
    <cellStyle name="Normal 2 4 2 3 4 6 2" xfId="6747" xr:uid="{00000000-0005-0000-0000-0000220F0000}"/>
    <cellStyle name="Normal 2 4 2 3 4 6 2 2" xfId="15197" xr:uid="{BD31840D-1EAB-427A-A4A2-9F1AD8BED2E2}"/>
    <cellStyle name="Normal 2 4 2 3 4 6 3" xfId="10979" xr:uid="{83B4C1C1-50C3-4600-8DDF-02A9E87E1B92}"/>
    <cellStyle name="Normal 2 4 2 3 4 7" xfId="4681" xr:uid="{00000000-0005-0000-0000-0000230F0000}"/>
    <cellStyle name="Normal 2 4 2 3 4 7 2" xfId="13131" xr:uid="{0C96B32A-9FB2-4ED4-875B-080BC2272D60}"/>
    <cellStyle name="Normal 2 4 2 3 4 8" xfId="8913" xr:uid="{816474C7-7A07-4395-8A99-B392F22D8217}"/>
    <cellStyle name="Normal 2 4 2 3 5" xfId="772" xr:uid="{00000000-0005-0000-0000-0000240F0000}"/>
    <cellStyle name="Normal 2 4 2 3 5 2" xfId="3011" xr:uid="{00000000-0005-0000-0000-0000250F0000}"/>
    <cellStyle name="Normal 2 4 2 3 5 2 2" xfId="7233" xr:uid="{00000000-0005-0000-0000-0000260F0000}"/>
    <cellStyle name="Normal 2 4 2 3 5 2 2 2" xfId="15683" xr:uid="{1C5E0B9B-1A14-4AD6-8AE6-41FFE01A3B51}"/>
    <cellStyle name="Normal 2 4 2 3 5 2 3" xfId="11465" xr:uid="{699D8F65-9609-4269-8231-F37DB6F23011}"/>
    <cellStyle name="Normal 2 4 2 3 5 3" xfId="5088" xr:uid="{00000000-0005-0000-0000-0000270F0000}"/>
    <cellStyle name="Normal 2 4 2 3 5 3 2" xfId="13538" xr:uid="{7EB6B95D-3045-4B09-B04F-26694443B4C5}"/>
    <cellStyle name="Normal 2 4 2 3 5 4" xfId="9320" xr:uid="{DC04C229-6E75-471A-9B19-D6E0248C5AAE}"/>
    <cellStyle name="Normal 2 4 2 3 6" xfId="1194" xr:uid="{00000000-0005-0000-0000-0000280F0000}"/>
    <cellStyle name="Normal 2 4 2 3 6 2" xfId="3424" xr:uid="{00000000-0005-0000-0000-0000290F0000}"/>
    <cellStyle name="Normal 2 4 2 3 6 2 2" xfId="7646" xr:uid="{00000000-0005-0000-0000-00002A0F0000}"/>
    <cellStyle name="Normal 2 4 2 3 6 2 2 2" xfId="16096" xr:uid="{0DB03328-A0EC-4A39-98EA-5060E977F711}"/>
    <cellStyle name="Normal 2 4 2 3 6 2 3" xfId="11878" xr:uid="{C4DD4AE3-9516-4F12-ADDF-F53E18F10B91}"/>
    <cellStyle name="Normal 2 4 2 3 6 3" xfId="5501" xr:uid="{00000000-0005-0000-0000-00002B0F0000}"/>
    <cellStyle name="Normal 2 4 2 3 6 3 2" xfId="13951" xr:uid="{54FF4F73-110B-44E5-8B3E-D790D6DC72DC}"/>
    <cellStyle name="Normal 2 4 2 3 6 4" xfId="9733" xr:uid="{64E96CB8-DC8E-47EB-BEA4-85ECD587D069}"/>
    <cellStyle name="Normal 2 4 2 3 7" xfId="1607" xr:uid="{00000000-0005-0000-0000-00002C0F0000}"/>
    <cellStyle name="Normal 2 4 2 3 7 2" xfId="3837" xr:uid="{00000000-0005-0000-0000-00002D0F0000}"/>
    <cellStyle name="Normal 2 4 2 3 7 2 2" xfId="8059" xr:uid="{00000000-0005-0000-0000-00002E0F0000}"/>
    <cellStyle name="Normal 2 4 2 3 7 2 2 2" xfId="16509" xr:uid="{6A536D41-5AE5-4BB2-ACE1-D50824E40E8E}"/>
    <cellStyle name="Normal 2 4 2 3 7 2 3" xfId="12291" xr:uid="{9EBB1511-4C31-4852-824C-8CA3E4ED0945}"/>
    <cellStyle name="Normal 2 4 2 3 7 3" xfId="5914" xr:uid="{00000000-0005-0000-0000-00002F0F0000}"/>
    <cellStyle name="Normal 2 4 2 3 7 3 2" xfId="14364" xr:uid="{542803CF-3D0E-4B58-B8CC-5802D0A1A13F}"/>
    <cellStyle name="Normal 2 4 2 3 7 4" xfId="10146" xr:uid="{19FD26E1-E921-4CAC-A894-DA6EAF10C3E0}"/>
    <cellStyle name="Normal 2 4 2 3 8" xfId="2021" xr:uid="{00000000-0005-0000-0000-0000300F0000}"/>
    <cellStyle name="Normal 2 4 2 3 8 2" xfId="4250" xr:uid="{00000000-0005-0000-0000-0000310F0000}"/>
    <cellStyle name="Normal 2 4 2 3 8 2 2" xfId="8472" xr:uid="{00000000-0005-0000-0000-0000320F0000}"/>
    <cellStyle name="Normal 2 4 2 3 8 2 2 2" xfId="16922" xr:uid="{063C75AC-0F77-4275-B72B-594E1CC3B677}"/>
    <cellStyle name="Normal 2 4 2 3 8 2 3" xfId="12704" xr:uid="{167F21C8-3DEB-49EE-9D4A-BEE389C7E5E1}"/>
    <cellStyle name="Normal 2 4 2 3 8 3" xfId="6327" xr:uid="{00000000-0005-0000-0000-0000330F0000}"/>
    <cellStyle name="Normal 2 4 2 3 8 3 2" xfId="14777" xr:uid="{1BFC3D51-E374-454E-9392-703535E06FD2}"/>
    <cellStyle name="Normal 2 4 2 3 8 4" xfId="10559" xr:uid="{009D1136-8666-466D-B400-005B42D5424B}"/>
    <cellStyle name="Normal 2 4 2 3 9" xfId="2457" xr:uid="{00000000-0005-0000-0000-0000340F0000}"/>
    <cellStyle name="Normal 2 4 2 3 9 2" xfId="6740" xr:uid="{00000000-0005-0000-0000-0000350F0000}"/>
    <cellStyle name="Normal 2 4 2 3 9 2 2" xfId="15190" xr:uid="{5D05333C-E35A-401D-AFFE-9FAB2D52E25C}"/>
    <cellStyle name="Normal 2 4 2 3 9 3" xfId="10972" xr:uid="{98E00857-4E5E-4A70-BE29-1D61A4A836AB}"/>
    <cellStyle name="Normal 2 4 2 4" xfId="289" xr:uid="{00000000-0005-0000-0000-0000360F0000}"/>
    <cellStyle name="Normal 2 4 2 4 10" xfId="8914" xr:uid="{1E12FA7B-8EE4-45B8-8B99-7CD387522126}"/>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2 2 2" xfId="15693" xr:uid="{E5FFFE89-EF39-4894-8C85-7C74E2744CDA}"/>
    <cellStyle name="Normal 2 4 2 4 2 2 2 2 3" xfId="11475" xr:uid="{DB3C3561-DEB4-4E53-9A06-0A2F6EB41439}"/>
    <cellStyle name="Normal 2 4 2 4 2 2 2 3" xfId="5098" xr:uid="{00000000-0005-0000-0000-00003C0F0000}"/>
    <cellStyle name="Normal 2 4 2 4 2 2 2 3 2" xfId="13548" xr:uid="{6F955C00-306B-4937-9837-010F5086952B}"/>
    <cellStyle name="Normal 2 4 2 4 2 2 2 4" xfId="9330" xr:uid="{F8BA1E56-4D2B-4EA1-8290-B2F30F02531C}"/>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2 2 2" xfId="16106" xr:uid="{35F80C79-E9A5-4E29-A3FF-D6EE92008B27}"/>
    <cellStyle name="Normal 2 4 2 4 2 2 3 2 3" xfId="11888" xr:uid="{543A6D25-C7E6-4589-82C0-A922CD361347}"/>
    <cellStyle name="Normal 2 4 2 4 2 2 3 3" xfId="5511" xr:uid="{00000000-0005-0000-0000-0000400F0000}"/>
    <cellStyle name="Normal 2 4 2 4 2 2 3 3 2" xfId="13961" xr:uid="{B13E1CAD-7EF7-4753-9688-26AA5127D3A7}"/>
    <cellStyle name="Normal 2 4 2 4 2 2 3 4" xfId="9743" xr:uid="{D1FC565C-308C-435B-A01B-C579D81BB69F}"/>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2 2 2" xfId="16519" xr:uid="{16B49413-1246-4E45-831E-EC1F15E48416}"/>
    <cellStyle name="Normal 2 4 2 4 2 2 4 2 3" xfId="12301" xr:uid="{0CC3B561-18B1-4F61-BD99-D068ACE42D81}"/>
    <cellStyle name="Normal 2 4 2 4 2 2 4 3" xfId="5924" xr:uid="{00000000-0005-0000-0000-0000440F0000}"/>
    <cellStyle name="Normal 2 4 2 4 2 2 4 3 2" xfId="14374" xr:uid="{0B6760DF-EF86-4038-933A-8D484AF21263}"/>
    <cellStyle name="Normal 2 4 2 4 2 2 4 4" xfId="10156" xr:uid="{1A437815-229B-40F8-82EB-FDD6DC13966E}"/>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2 2 2" xfId="16932" xr:uid="{B17339FF-8870-4421-9DF1-26EFBBC3B893}"/>
    <cellStyle name="Normal 2 4 2 4 2 2 5 2 3" xfId="12714" xr:uid="{FF24F805-B9AF-454C-AFD2-5E6C4CFFE737}"/>
    <cellStyle name="Normal 2 4 2 4 2 2 5 3" xfId="6337" xr:uid="{00000000-0005-0000-0000-0000480F0000}"/>
    <cellStyle name="Normal 2 4 2 4 2 2 5 3 2" xfId="14787" xr:uid="{B3BAB2AE-187A-40D0-9828-76566ED65F88}"/>
    <cellStyle name="Normal 2 4 2 4 2 2 5 4" xfId="10569" xr:uid="{22684041-9BBB-4C54-B7FE-6BF7911032E8}"/>
    <cellStyle name="Normal 2 4 2 4 2 2 6" xfId="2467" xr:uid="{00000000-0005-0000-0000-0000490F0000}"/>
    <cellStyle name="Normal 2 4 2 4 2 2 6 2" xfId="6750" xr:uid="{00000000-0005-0000-0000-00004A0F0000}"/>
    <cellStyle name="Normal 2 4 2 4 2 2 6 2 2" xfId="15200" xr:uid="{529A8FE1-7D01-4D79-8533-7CA453AEF7CE}"/>
    <cellStyle name="Normal 2 4 2 4 2 2 6 3" xfId="10982" xr:uid="{5283C4DC-2B67-4E56-B335-BDE4BAB79F00}"/>
    <cellStyle name="Normal 2 4 2 4 2 2 7" xfId="4684" xr:uid="{00000000-0005-0000-0000-00004B0F0000}"/>
    <cellStyle name="Normal 2 4 2 4 2 2 7 2" xfId="13134" xr:uid="{CCEB11D9-1620-4828-9C01-1D606400337E}"/>
    <cellStyle name="Normal 2 4 2 4 2 2 8" xfId="8916" xr:uid="{51B496B2-201E-47BD-AFF8-DC3E589A710E}"/>
    <cellStyle name="Normal 2 4 2 4 2 3" xfId="781" xr:uid="{00000000-0005-0000-0000-00004C0F0000}"/>
    <cellStyle name="Normal 2 4 2 4 2 3 2" xfId="3020" xr:uid="{00000000-0005-0000-0000-00004D0F0000}"/>
    <cellStyle name="Normal 2 4 2 4 2 3 2 2" xfId="7242" xr:uid="{00000000-0005-0000-0000-00004E0F0000}"/>
    <cellStyle name="Normal 2 4 2 4 2 3 2 2 2" xfId="15692" xr:uid="{8CF11431-02A2-407A-AF1D-B8AB394F3271}"/>
    <cellStyle name="Normal 2 4 2 4 2 3 2 3" xfId="11474" xr:uid="{1E8D80A7-4FFC-45CF-8B4D-B39307B3278C}"/>
    <cellStyle name="Normal 2 4 2 4 2 3 3" xfId="5097" xr:uid="{00000000-0005-0000-0000-00004F0F0000}"/>
    <cellStyle name="Normal 2 4 2 4 2 3 3 2" xfId="13547" xr:uid="{8EC21C6C-3FDA-4B2C-B333-ADCC0F1BEA56}"/>
    <cellStyle name="Normal 2 4 2 4 2 3 4" xfId="9329" xr:uid="{A1948742-937D-463D-AD56-BB4C4966D5AC}"/>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2 2 2" xfId="16105" xr:uid="{80446FE6-F206-43BB-B811-B2CF0A87835E}"/>
    <cellStyle name="Normal 2 4 2 4 2 4 2 3" xfId="11887" xr:uid="{C840BE5C-810A-4542-AE77-82545E4D883A}"/>
    <cellStyle name="Normal 2 4 2 4 2 4 3" xfId="5510" xr:uid="{00000000-0005-0000-0000-0000530F0000}"/>
    <cellStyle name="Normal 2 4 2 4 2 4 3 2" xfId="13960" xr:uid="{4E9A5689-3197-4DE1-9820-A827689F05AD}"/>
    <cellStyle name="Normal 2 4 2 4 2 4 4" xfId="9742" xr:uid="{15B37FDD-C2B2-42E4-9503-7CF32AA4ADF3}"/>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2 2 2" xfId="16518" xr:uid="{58A9A799-3B33-4946-9E9B-22CE7AE9F2F9}"/>
    <cellStyle name="Normal 2 4 2 4 2 5 2 3" xfId="12300" xr:uid="{5349806E-D509-4071-95F0-BA615658716A}"/>
    <cellStyle name="Normal 2 4 2 4 2 5 3" xfId="5923" xr:uid="{00000000-0005-0000-0000-0000570F0000}"/>
    <cellStyle name="Normal 2 4 2 4 2 5 3 2" xfId="14373" xr:uid="{76EA0554-BCF5-40E4-92ED-0C43A99AA5BD}"/>
    <cellStyle name="Normal 2 4 2 4 2 5 4" xfId="10155" xr:uid="{A4A47D41-AAAE-45B1-9788-07FF6CC02F08}"/>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2 2 2" xfId="16931" xr:uid="{25413515-BADB-49EE-9925-5B8B5C4C90D0}"/>
    <cellStyle name="Normal 2 4 2 4 2 6 2 3" xfId="12713" xr:uid="{DF49A461-39D9-4BBA-9FF8-0D83161FFA07}"/>
    <cellStyle name="Normal 2 4 2 4 2 6 3" xfId="6336" xr:uid="{00000000-0005-0000-0000-00005B0F0000}"/>
    <cellStyle name="Normal 2 4 2 4 2 6 3 2" xfId="14786" xr:uid="{C228AF7C-BCA7-471E-B796-DBABA361477D}"/>
    <cellStyle name="Normal 2 4 2 4 2 6 4" xfId="10568" xr:uid="{EDB63B59-5AE6-4C7E-81BF-FC2147AB4A1F}"/>
    <cellStyle name="Normal 2 4 2 4 2 7" xfId="2466" xr:uid="{00000000-0005-0000-0000-00005C0F0000}"/>
    <cellStyle name="Normal 2 4 2 4 2 7 2" xfId="6749" xr:uid="{00000000-0005-0000-0000-00005D0F0000}"/>
    <cellStyle name="Normal 2 4 2 4 2 7 2 2" xfId="15199" xr:uid="{81C35226-01BA-4D06-9E52-82D69ECC2349}"/>
    <cellStyle name="Normal 2 4 2 4 2 7 3" xfId="10981" xr:uid="{F41A5E3A-1225-4A9B-85E4-1E6C5F731A6A}"/>
    <cellStyle name="Normal 2 4 2 4 2 8" xfId="4683" xr:uid="{00000000-0005-0000-0000-00005E0F0000}"/>
    <cellStyle name="Normal 2 4 2 4 2 8 2" xfId="13133" xr:uid="{E56A11C8-DAB8-40C1-8C5B-F0AE32AACCC2}"/>
    <cellStyle name="Normal 2 4 2 4 2 9" xfId="8915" xr:uid="{AC46309E-FCC6-4B9C-9E0F-92792872A43F}"/>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2 2 2" xfId="15694" xr:uid="{1AA46E2A-F062-4241-B494-60F15ACE97D6}"/>
    <cellStyle name="Normal 2 4 2 4 3 2 2 3" xfId="11476" xr:uid="{021B9223-FA10-4A05-8ABC-4120BB751FD6}"/>
    <cellStyle name="Normal 2 4 2 4 3 2 3" xfId="5099" xr:uid="{00000000-0005-0000-0000-0000630F0000}"/>
    <cellStyle name="Normal 2 4 2 4 3 2 3 2" xfId="13549" xr:uid="{94FB9FF9-5722-480D-BCF6-2D6E3A1F18C3}"/>
    <cellStyle name="Normal 2 4 2 4 3 2 4" xfId="9331" xr:uid="{F90306AF-DEA7-4000-92E0-7FD23DF986A6}"/>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2 2 2" xfId="16107" xr:uid="{57AB6150-86C7-4564-B70C-DDAEE602150D}"/>
    <cellStyle name="Normal 2 4 2 4 3 3 2 3" xfId="11889" xr:uid="{FE7D3BB4-CA07-4702-AE9B-2FEDE2614DB7}"/>
    <cellStyle name="Normal 2 4 2 4 3 3 3" xfId="5512" xr:uid="{00000000-0005-0000-0000-0000670F0000}"/>
    <cellStyle name="Normal 2 4 2 4 3 3 3 2" xfId="13962" xr:uid="{ADB97669-DE80-4FAD-9B49-7016749E8C45}"/>
    <cellStyle name="Normal 2 4 2 4 3 3 4" xfId="9744" xr:uid="{057BBC83-E78D-49C0-919B-308C95409BB1}"/>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2 2 2" xfId="16520" xr:uid="{F31BA230-8355-4889-8EDF-0BD8223D15C4}"/>
    <cellStyle name="Normal 2 4 2 4 3 4 2 3" xfId="12302" xr:uid="{A35E365F-68AB-4210-B611-4902187F08AB}"/>
    <cellStyle name="Normal 2 4 2 4 3 4 3" xfId="5925" xr:uid="{00000000-0005-0000-0000-00006B0F0000}"/>
    <cellStyle name="Normal 2 4 2 4 3 4 3 2" xfId="14375" xr:uid="{C554010D-5C9A-40F6-8BB3-8EF98242980B}"/>
    <cellStyle name="Normal 2 4 2 4 3 4 4" xfId="10157" xr:uid="{59EEA2A6-C79F-4117-BC6D-435782D8976C}"/>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2 2 2" xfId="16933" xr:uid="{DB6B56F0-D367-4603-AD50-77BD04622261}"/>
    <cellStyle name="Normal 2 4 2 4 3 5 2 3" xfId="12715" xr:uid="{4E73B71E-EC61-4871-AFBA-FD60C89DEE6F}"/>
    <cellStyle name="Normal 2 4 2 4 3 5 3" xfId="6338" xr:uid="{00000000-0005-0000-0000-00006F0F0000}"/>
    <cellStyle name="Normal 2 4 2 4 3 5 3 2" xfId="14788" xr:uid="{3876B506-1A23-470B-A3CB-6875ECAD8C15}"/>
    <cellStyle name="Normal 2 4 2 4 3 5 4" xfId="10570" xr:uid="{8C570221-673F-4A8B-B10C-77AF734E21D1}"/>
    <cellStyle name="Normal 2 4 2 4 3 6" xfId="2468" xr:uid="{00000000-0005-0000-0000-0000700F0000}"/>
    <cellStyle name="Normal 2 4 2 4 3 6 2" xfId="6751" xr:uid="{00000000-0005-0000-0000-0000710F0000}"/>
    <cellStyle name="Normal 2 4 2 4 3 6 2 2" xfId="15201" xr:uid="{4155C1C7-50E9-453E-A7EE-92945510A47E}"/>
    <cellStyle name="Normal 2 4 2 4 3 6 3" xfId="10983" xr:uid="{ED7978D5-11E7-4E28-9A02-D607A2BC9C72}"/>
    <cellStyle name="Normal 2 4 2 4 3 7" xfId="4685" xr:uid="{00000000-0005-0000-0000-0000720F0000}"/>
    <cellStyle name="Normal 2 4 2 4 3 7 2" xfId="13135" xr:uid="{4571E064-FA4C-4CFC-8E4E-E9705D143D33}"/>
    <cellStyle name="Normal 2 4 2 4 3 8" xfId="8917" xr:uid="{A897A196-E778-4A99-94FC-B272B68C15A1}"/>
    <cellStyle name="Normal 2 4 2 4 4" xfId="780" xr:uid="{00000000-0005-0000-0000-0000730F0000}"/>
    <cellStyle name="Normal 2 4 2 4 4 2" xfId="3019" xr:uid="{00000000-0005-0000-0000-0000740F0000}"/>
    <cellStyle name="Normal 2 4 2 4 4 2 2" xfId="7241" xr:uid="{00000000-0005-0000-0000-0000750F0000}"/>
    <cellStyle name="Normal 2 4 2 4 4 2 2 2" xfId="15691" xr:uid="{BC21DE0B-8D77-45BD-9584-25B2EC38DD84}"/>
    <cellStyle name="Normal 2 4 2 4 4 2 3" xfId="11473" xr:uid="{9ADCBC04-2767-4AD6-A30B-460AF06D3482}"/>
    <cellStyle name="Normal 2 4 2 4 4 3" xfId="5096" xr:uid="{00000000-0005-0000-0000-0000760F0000}"/>
    <cellStyle name="Normal 2 4 2 4 4 3 2" xfId="13546" xr:uid="{B2BA6866-EDC1-4FF6-8E84-58782B040189}"/>
    <cellStyle name="Normal 2 4 2 4 4 4" xfId="9328" xr:uid="{1F84FD95-BEB0-4BD7-A973-8F1FD56AE2CE}"/>
    <cellStyle name="Normal 2 4 2 4 5" xfId="1202" xr:uid="{00000000-0005-0000-0000-0000770F0000}"/>
    <cellStyle name="Normal 2 4 2 4 5 2" xfId="3432" xr:uid="{00000000-0005-0000-0000-0000780F0000}"/>
    <cellStyle name="Normal 2 4 2 4 5 2 2" xfId="7654" xr:uid="{00000000-0005-0000-0000-0000790F0000}"/>
    <cellStyle name="Normal 2 4 2 4 5 2 2 2" xfId="16104" xr:uid="{04DDE399-3E1A-4E6D-918A-8E28A341D9C9}"/>
    <cellStyle name="Normal 2 4 2 4 5 2 3" xfId="11886" xr:uid="{2D1F6871-E6E2-438F-B2F0-03AA747087C2}"/>
    <cellStyle name="Normal 2 4 2 4 5 3" xfId="5509" xr:uid="{00000000-0005-0000-0000-00007A0F0000}"/>
    <cellStyle name="Normal 2 4 2 4 5 3 2" xfId="13959" xr:uid="{21B5FF4F-9BCC-45CC-81B0-72C728743F18}"/>
    <cellStyle name="Normal 2 4 2 4 5 4" xfId="9741" xr:uid="{A7426D11-BD52-4A19-B6C7-DF00030E4C9C}"/>
    <cellStyle name="Normal 2 4 2 4 6" xfId="1615" xr:uid="{00000000-0005-0000-0000-00007B0F0000}"/>
    <cellStyle name="Normal 2 4 2 4 6 2" xfId="3845" xr:uid="{00000000-0005-0000-0000-00007C0F0000}"/>
    <cellStyle name="Normal 2 4 2 4 6 2 2" xfId="8067" xr:uid="{00000000-0005-0000-0000-00007D0F0000}"/>
    <cellStyle name="Normal 2 4 2 4 6 2 2 2" xfId="16517" xr:uid="{62BBBB66-5033-47BC-88C1-0B9EF7F545F8}"/>
    <cellStyle name="Normal 2 4 2 4 6 2 3" xfId="12299" xr:uid="{7A9DC8F5-7AFC-4EAF-9293-8B14B87A2B93}"/>
    <cellStyle name="Normal 2 4 2 4 6 3" xfId="5922" xr:uid="{00000000-0005-0000-0000-00007E0F0000}"/>
    <cellStyle name="Normal 2 4 2 4 6 3 2" xfId="14372" xr:uid="{3A88A478-EC27-4E8C-9554-D9A48713C2EE}"/>
    <cellStyle name="Normal 2 4 2 4 6 4" xfId="10154" xr:uid="{86CF2F71-11BF-461A-8357-6332F594F44A}"/>
    <cellStyle name="Normal 2 4 2 4 7" xfId="2029" xr:uid="{00000000-0005-0000-0000-00007F0F0000}"/>
    <cellStyle name="Normal 2 4 2 4 7 2" xfId="4258" xr:uid="{00000000-0005-0000-0000-0000800F0000}"/>
    <cellStyle name="Normal 2 4 2 4 7 2 2" xfId="8480" xr:uid="{00000000-0005-0000-0000-0000810F0000}"/>
    <cellStyle name="Normal 2 4 2 4 7 2 2 2" xfId="16930" xr:uid="{6D3BBD7F-2D36-4BA9-8D63-5D0C2ACDA7C4}"/>
    <cellStyle name="Normal 2 4 2 4 7 2 3" xfId="12712" xr:uid="{4D2FB02C-DD7C-479B-8D6C-21C1595D12D0}"/>
    <cellStyle name="Normal 2 4 2 4 7 3" xfId="6335" xr:uid="{00000000-0005-0000-0000-0000820F0000}"/>
    <cellStyle name="Normal 2 4 2 4 7 3 2" xfId="14785" xr:uid="{C32E498B-14F9-45DE-82C2-43D1C2199C73}"/>
    <cellStyle name="Normal 2 4 2 4 7 4" xfId="10567" xr:uid="{5CAE5B3D-9509-449D-AF54-3C34DA341BF5}"/>
    <cellStyle name="Normal 2 4 2 4 8" xfId="2465" xr:uid="{00000000-0005-0000-0000-0000830F0000}"/>
    <cellStyle name="Normal 2 4 2 4 8 2" xfId="6748" xr:uid="{00000000-0005-0000-0000-0000840F0000}"/>
    <cellStyle name="Normal 2 4 2 4 8 2 2" xfId="15198" xr:uid="{3E4166C2-2B16-4998-8496-CBB622484382}"/>
    <cellStyle name="Normal 2 4 2 4 8 3" xfId="10980" xr:uid="{DAA3F131-2F7A-4B2C-A055-84E6064FF1FE}"/>
    <cellStyle name="Normal 2 4 2 4 9" xfId="4682" xr:uid="{00000000-0005-0000-0000-0000850F0000}"/>
    <cellStyle name="Normal 2 4 2 4 9 2" xfId="13132" xr:uid="{FB01BFE1-7D94-4798-953D-781CB98829F8}"/>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2 2 2" xfId="15696" xr:uid="{E2EE8D6C-234D-4A95-B28A-B075DBDC024C}"/>
    <cellStyle name="Normal 2 4 2 5 2 2 2 3" xfId="11478" xr:uid="{9254934E-80AF-4990-A167-9E08ECF0D323}"/>
    <cellStyle name="Normal 2 4 2 5 2 2 3" xfId="5101" xr:uid="{00000000-0005-0000-0000-00008B0F0000}"/>
    <cellStyle name="Normal 2 4 2 5 2 2 3 2" xfId="13551" xr:uid="{8B89BB3E-6B1D-4DEE-9F7C-2D677D52CFF5}"/>
    <cellStyle name="Normal 2 4 2 5 2 2 4" xfId="9333" xr:uid="{208A7EB0-FE38-4B6F-BA8E-B09413A85428}"/>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2 2 2" xfId="16109" xr:uid="{436A4833-AEB6-4972-8C50-5D4BE4553297}"/>
    <cellStyle name="Normal 2 4 2 5 2 3 2 3" xfId="11891" xr:uid="{7E44E69F-C3DB-42B5-A66D-837F2D365EBE}"/>
    <cellStyle name="Normal 2 4 2 5 2 3 3" xfId="5514" xr:uid="{00000000-0005-0000-0000-00008F0F0000}"/>
    <cellStyle name="Normal 2 4 2 5 2 3 3 2" xfId="13964" xr:uid="{2210D16E-CC3D-486B-950A-53D74FE09AE5}"/>
    <cellStyle name="Normal 2 4 2 5 2 3 4" xfId="9746" xr:uid="{532F4C1B-E8E0-4B78-947B-50E23F3856A1}"/>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2 2 2" xfId="16522" xr:uid="{6234A284-4701-4C0B-B6D8-AB38C7880B49}"/>
    <cellStyle name="Normal 2 4 2 5 2 4 2 3" xfId="12304" xr:uid="{5B447C5C-4EC4-4C79-9873-9338180FB69A}"/>
    <cellStyle name="Normal 2 4 2 5 2 4 3" xfId="5927" xr:uid="{00000000-0005-0000-0000-0000930F0000}"/>
    <cellStyle name="Normal 2 4 2 5 2 4 3 2" xfId="14377" xr:uid="{010B5321-E12B-486A-84CD-1097817883AA}"/>
    <cellStyle name="Normal 2 4 2 5 2 4 4" xfId="10159" xr:uid="{98214373-A323-457C-8FC4-71AC4C4F8A87}"/>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2 2 2" xfId="16935" xr:uid="{85EF8A5B-88D2-46BB-87B3-A693514A46ED}"/>
    <cellStyle name="Normal 2 4 2 5 2 5 2 3" xfId="12717" xr:uid="{5CCA6BF6-BB13-40F5-913C-D26D2F821619}"/>
    <cellStyle name="Normal 2 4 2 5 2 5 3" xfId="6340" xr:uid="{00000000-0005-0000-0000-0000970F0000}"/>
    <cellStyle name="Normal 2 4 2 5 2 5 3 2" xfId="14790" xr:uid="{C5E6E0BB-1737-44C1-8DAF-93D8E999A3AD}"/>
    <cellStyle name="Normal 2 4 2 5 2 5 4" xfId="10572" xr:uid="{10E2E1CC-9B23-405F-8936-BBD2AB54869D}"/>
    <cellStyle name="Normal 2 4 2 5 2 6" xfId="2470" xr:uid="{00000000-0005-0000-0000-0000980F0000}"/>
    <cellStyle name="Normal 2 4 2 5 2 6 2" xfId="6753" xr:uid="{00000000-0005-0000-0000-0000990F0000}"/>
    <cellStyle name="Normal 2 4 2 5 2 6 2 2" xfId="15203" xr:uid="{0E2BD34C-B21B-4AC4-BE66-E7E7FC3B2E13}"/>
    <cellStyle name="Normal 2 4 2 5 2 6 3" xfId="10985" xr:uid="{71DB78ED-DA24-4A02-9CAA-B8D2B49F021E}"/>
    <cellStyle name="Normal 2 4 2 5 2 7" xfId="4687" xr:uid="{00000000-0005-0000-0000-00009A0F0000}"/>
    <cellStyle name="Normal 2 4 2 5 2 7 2" xfId="13137" xr:uid="{A05691A5-9CAE-4E4F-86AA-DD4AE3CDE9AD}"/>
    <cellStyle name="Normal 2 4 2 5 2 8" xfId="8919" xr:uid="{4A5F58B8-2652-454B-A9EC-0484D143B1E7}"/>
    <cellStyle name="Normal 2 4 2 5 3" xfId="784" xr:uid="{00000000-0005-0000-0000-00009B0F0000}"/>
    <cellStyle name="Normal 2 4 2 5 3 2" xfId="3023" xr:uid="{00000000-0005-0000-0000-00009C0F0000}"/>
    <cellStyle name="Normal 2 4 2 5 3 2 2" xfId="7245" xr:uid="{00000000-0005-0000-0000-00009D0F0000}"/>
    <cellStyle name="Normal 2 4 2 5 3 2 2 2" xfId="15695" xr:uid="{A46926AF-4484-453E-8658-12ADBEE0C0FD}"/>
    <cellStyle name="Normal 2 4 2 5 3 2 3" xfId="11477" xr:uid="{497516D5-18B1-439F-B4DF-4EE9D9914B09}"/>
    <cellStyle name="Normal 2 4 2 5 3 3" xfId="5100" xr:uid="{00000000-0005-0000-0000-00009E0F0000}"/>
    <cellStyle name="Normal 2 4 2 5 3 3 2" xfId="13550" xr:uid="{A34C6345-F96E-4E52-B82C-D17C8CFFC0FE}"/>
    <cellStyle name="Normal 2 4 2 5 3 4" xfId="9332" xr:uid="{9725C262-07A8-42DA-825E-8B874DD3BB4F}"/>
    <cellStyle name="Normal 2 4 2 5 4" xfId="1206" xr:uid="{00000000-0005-0000-0000-00009F0F0000}"/>
    <cellStyle name="Normal 2 4 2 5 4 2" xfId="3436" xr:uid="{00000000-0005-0000-0000-0000A00F0000}"/>
    <cellStyle name="Normal 2 4 2 5 4 2 2" xfId="7658" xr:uid="{00000000-0005-0000-0000-0000A10F0000}"/>
    <cellStyle name="Normal 2 4 2 5 4 2 2 2" xfId="16108" xr:uid="{6674060A-E02A-4AFE-8800-0FE3AEBC0119}"/>
    <cellStyle name="Normal 2 4 2 5 4 2 3" xfId="11890" xr:uid="{AE2A62A3-7050-4D0F-A267-C2068B12ABB4}"/>
    <cellStyle name="Normal 2 4 2 5 4 3" xfId="5513" xr:uid="{00000000-0005-0000-0000-0000A20F0000}"/>
    <cellStyle name="Normal 2 4 2 5 4 3 2" xfId="13963" xr:uid="{98C79913-1404-4B15-9E18-A38E97AFD61B}"/>
    <cellStyle name="Normal 2 4 2 5 4 4" xfId="9745" xr:uid="{38F331D1-4490-45EB-A603-50289F9C7BA1}"/>
    <cellStyle name="Normal 2 4 2 5 5" xfId="1619" xr:uid="{00000000-0005-0000-0000-0000A30F0000}"/>
    <cellStyle name="Normal 2 4 2 5 5 2" xfId="3849" xr:uid="{00000000-0005-0000-0000-0000A40F0000}"/>
    <cellStyle name="Normal 2 4 2 5 5 2 2" xfId="8071" xr:uid="{00000000-0005-0000-0000-0000A50F0000}"/>
    <cellStyle name="Normal 2 4 2 5 5 2 2 2" xfId="16521" xr:uid="{1826254C-DA3E-44D7-AB64-38452692AAEC}"/>
    <cellStyle name="Normal 2 4 2 5 5 2 3" xfId="12303" xr:uid="{91752B4D-8A67-4EC7-84E3-D23B48299C78}"/>
    <cellStyle name="Normal 2 4 2 5 5 3" xfId="5926" xr:uid="{00000000-0005-0000-0000-0000A60F0000}"/>
    <cellStyle name="Normal 2 4 2 5 5 3 2" xfId="14376" xr:uid="{040EE98F-892F-4B62-AEC0-F0CF51DCEB58}"/>
    <cellStyle name="Normal 2 4 2 5 5 4" xfId="10158" xr:uid="{FBDC41FC-5BC2-416D-9E7E-7FAB71875471}"/>
    <cellStyle name="Normal 2 4 2 5 6" xfId="2033" xr:uid="{00000000-0005-0000-0000-0000A70F0000}"/>
    <cellStyle name="Normal 2 4 2 5 6 2" xfId="4262" xr:uid="{00000000-0005-0000-0000-0000A80F0000}"/>
    <cellStyle name="Normal 2 4 2 5 6 2 2" xfId="8484" xr:uid="{00000000-0005-0000-0000-0000A90F0000}"/>
    <cellStyle name="Normal 2 4 2 5 6 2 2 2" xfId="16934" xr:uid="{C4FFFB61-DBC0-4548-B892-9FCF9D218F09}"/>
    <cellStyle name="Normal 2 4 2 5 6 2 3" xfId="12716" xr:uid="{F6E73324-1F2E-42EB-85AF-C650FDA82C87}"/>
    <cellStyle name="Normal 2 4 2 5 6 3" xfId="6339" xr:uid="{00000000-0005-0000-0000-0000AA0F0000}"/>
    <cellStyle name="Normal 2 4 2 5 6 3 2" xfId="14789" xr:uid="{17DD1DDF-073E-4FD4-A456-5CD50E1B29A5}"/>
    <cellStyle name="Normal 2 4 2 5 6 4" xfId="10571" xr:uid="{DFF8DB4C-7013-48EE-8BEF-B9643C259162}"/>
    <cellStyle name="Normal 2 4 2 5 7" xfId="2469" xr:uid="{00000000-0005-0000-0000-0000AB0F0000}"/>
    <cellStyle name="Normal 2 4 2 5 7 2" xfId="6752" xr:uid="{00000000-0005-0000-0000-0000AC0F0000}"/>
    <cellStyle name="Normal 2 4 2 5 7 2 2" xfId="15202" xr:uid="{86341191-D1D4-4ED4-8940-E838ABB8F4F2}"/>
    <cellStyle name="Normal 2 4 2 5 7 3" xfId="10984" xr:uid="{61367588-05CC-431C-8223-13151A3F80FC}"/>
    <cellStyle name="Normal 2 4 2 5 8" xfId="4686" xr:uid="{00000000-0005-0000-0000-0000AD0F0000}"/>
    <cellStyle name="Normal 2 4 2 5 8 2" xfId="13136" xr:uid="{4F28BC8F-48E3-4740-9B4C-BFA70DC00987}"/>
    <cellStyle name="Normal 2 4 2 5 9" xfId="8918" xr:uid="{4438E0CB-2A71-46A8-B9BC-75DD3ACCA3EF}"/>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2 2 2" xfId="15697" xr:uid="{8F25021D-0437-4508-9729-164E07569A38}"/>
    <cellStyle name="Normal 2 4 2 6 2 2 3" xfId="11479" xr:uid="{BCF73101-6E99-4C9B-915B-3B406C4BB38C}"/>
    <cellStyle name="Normal 2 4 2 6 2 3" xfId="5102" xr:uid="{00000000-0005-0000-0000-0000B20F0000}"/>
    <cellStyle name="Normal 2 4 2 6 2 3 2" xfId="13552" xr:uid="{F0734DC0-8EC5-42A0-8772-16AAF7A8DF4C}"/>
    <cellStyle name="Normal 2 4 2 6 2 4" xfId="9334" xr:uid="{EC700BAC-F9C9-4110-A0E5-FF35C37EAA9F}"/>
    <cellStyle name="Normal 2 4 2 6 3" xfId="1208" xr:uid="{00000000-0005-0000-0000-0000B30F0000}"/>
    <cellStyle name="Normal 2 4 2 6 3 2" xfId="3438" xr:uid="{00000000-0005-0000-0000-0000B40F0000}"/>
    <cellStyle name="Normal 2 4 2 6 3 2 2" xfId="7660" xr:uid="{00000000-0005-0000-0000-0000B50F0000}"/>
    <cellStyle name="Normal 2 4 2 6 3 2 2 2" xfId="16110" xr:uid="{B261CF4F-C73F-429F-9605-793242EB4EDE}"/>
    <cellStyle name="Normal 2 4 2 6 3 2 3" xfId="11892" xr:uid="{1FC235C9-1A6A-42C1-BE3A-04A82A25F32B}"/>
    <cellStyle name="Normal 2 4 2 6 3 3" xfId="5515" xr:uid="{00000000-0005-0000-0000-0000B60F0000}"/>
    <cellStyle name="Normal 2 4 2 6 3 3 2" xfId="13965" xr:uid="{03E02B3F-505E-40DA-A143-E182CA1E5579}"/>
    <cellStyle name="Normal 2 4 2 6 3 4" xfId="9747" xr:uid="{58296AD8-1EFF-4708-BD85-C84D453A4EF5}"/>
    <cellStyle name="Normal 2 4 2 6 4" xfId="1621" xr:uid="{00000000-0005-0000-0000-0000B70F0000}"/>
    <cellStyle name="Normal 2 4 2 6 4 2" xfId="3851" xr:uid="{00000000-0005-0000-0000-0000B80F0000}"/>
    <cellStyle name="Normal 2 4 2 6 4 2 2" xfId="8073" xr:uid="{00000000-0005-0000-0000-0000B90F0000}"/>
    <cellStyle name="Normal 2 4 2 6 4 2 2 2" xfId="16523" xr:uid="{8FBBBDA2-8918-4E84-BBE4-A64B768A65D4}"/>
    <cellStyle name="Normal 2 4 2 6 4 2 3" xfId="12305" xr:uid="{2A40BD60-D036-4E75-B6D4-63A0EDF4CB6B}"/>
    <cellStyle name="Normal 2 4 2 6 4 3" xfId="5928" xr:uid="{00000000-0005-0000-0000-0000BA0F0000}"/>
    <cellStyle name="Normal 2 4 2 6 4 3 2" xfId="14378" xr:uid="{76282C83-6FFA-49CB-BD6F-6D9459A0DAE4}"/>
    <cellStyle name="Normal 2 4 2 6 4 4" xfId="10160" xr:uid="{33DB336F-DF5C-4E8E-886B-08515D21BF49}"/>
    <cellStyle name="Normal 2 4 2 6 5" xfId="2035" xr:uid="{00000000-0005-0000-0000-0000BB0F0000}"/>
    <cellStyle name="Normal 2 4 2 6 5 2" xfId="4264" xr:uid="{00000000-0005-0000-0000-0000BC0F0000}"/>
    <cellStyle name="Normal 2 4 2 6 5 2 2" xfId="8486" xr:uid="{00000000-0005-0000-0000-0000BD0F0000}"/>
    <cellStyle name="Normal 2 4 2 6 5 2 2 2" xfId="16936" xr:uid="{673FDE1F-4733-4F27-BE16-487FE64B8C67}"/>
    <cellStyle name="Normal 2 4 2 6 5 2 3" xfId="12718" xr:uid="{9AFC2330-8703-4A77-9367-C05DFD6DD7DB}"/>
    <cellStyle name="Normal 2 4 2 6 5 3" xfId="6341" xr:uid="{00000000-0005-0000-0000-0000BE0F0000}"/>
    <cellStyle name="Normal 2 4 2 6 5 3 2" xfId="14791" xr:uid="{F1CE01B5-4DBA-460C-9B37-E32FBCBB32D1}"/>
    <cellStyle name="Normal 2 4 2 6 5 4" xfId="10573" xr:uid="{876E11DD-307D-4959-8C69-1E42B1C174E9}"/>
    <cellStyle name="Normal 2 4 2 6 6" xfId="2471" xr:uid="{00000000-0005-0000-0000-0000BF0F0000}"/>
    <cellStyle name="Normal 2 4 2 6 6 2" xfId="6754" xr:uid="{00000000-0005-0000-0000-0000C00F0000}"/>
    <cellStyle name="Normal 2 4 2 6 6 2 2" xfId="15204" xr:uid="{708A485B-3CE5-4E0E-97D3-AC008054CB74}"/>
    <cellStyle name="Normal 2 4 2 6 6 3" xfId="10986" xr:uid="{72E93DB4-9A38-4898-903D-154B5630D3C4}"/>
    <cellStyle name="Normal 2 4 2 6 7" xfId="4688" xr:uid="{00000000-0005-0000-0000-0000C10F0000}"/>
    <cellStyle name="Normal 2 4 2 6 7 2" xfId="13138" xr:uid="{0785D9F6-A6B4-41C3-8822-3954BF434EAD}"/>
    <cellStyle name="Normal 2 4 2 6 8" xfId="8920" xr:uid="{98FE5EC9-9674-4C96-8700-82A67D8BA9F0}"/>
    <cellStyle name="Normal 2 4 2 7" xfId="771" xr:uid="{00000000-0005-0000-0000-0000C20F0000}"/>
    <cellStyle name="Normal 2 4 2 7 2" xfId="3010" xr:uid="{00000000-0005-0000-0000-0000C30F0000}"/>
    <cellStyle name="Normal 2 4 2 7 2 2" xfId="7232" xr:uid="{00000000-0005-0000-0000-0000C40F0000}"/>
    <cellStyle name="Normal 2 4 2 7 2 2 2" xfId="15682" xr:uid="{3EA078C0-5FC5-407C-8727-BA296EDC52A3}"/>
    <cellStyle name="Normal 2 4 2 7 2 3" xfId="11464" xr:uid="{8BD5A3A8-67EC-4D22-A9AB-658323AD2BFB}"/>
    <cellStyle name="Normal 2 4 2 7 3" xfId="5087" xr:uid="{00000000-0005-0000-0000-0000C50F0000}"/>
    <cellStyle name="Normal 2 4 2 7 3 2" xfId="13537" xr:uid="{2469A4DE-7FE5-4071-AE2A-7C039401080C}"/>
    <cellStyle name="Normal 2 4 2 7 4" xfId="9319" xr:uid="{B0F9E9FB-1BFB-4E17-9811-13C96D7FA6F1}"/>
    <cellStyle name="Normal 2 4 2 8" xfId="1193" xr:uid="{00000000-0005-0000-0000-0000C60F0000}"/>
    <cellStyle name="Normal 2 4 2 8 2" xfId="3423" xr:uid="{00000000-0005-0000-0000-0000C70F0000}"/>
    <cellStyle name="Normal 2 4 2 8 2 2" xfId="7645" xr:uid="{00000000-0005-0000-0000-0000C80F0000}"/>
    <cellStyle name="Normal 2 4 2 8 2 2 2" xfId="16095" xr:uid="{6BCA4263-4945-4AFC-BB91-FF2FF641FB7E}"/>
    <cellStyle name="Normal 2 4 2 8 2 3" xfId="11877" xr:uid="{2624C99E-2888-4FC5-B437-21F2D5ABEEDC}"/>
    <cellStyle name="Normal 2 4 2 8 3" xfId="5500" xr:uid="{00000000-0005-0000-0000-0000C90F0000}"/>
    <cellStyle name="Normal 2 4 2 8 3 2" xfId="13950" xr:uid="{842AC775-5E2E-4798-A0F6-A7FEA4B1F89E}"/>
    <cellStyle name="Normal 2 4 2 8 4" xfId="9732" xr:uid="{4A14FE4E-60EC-4765-AE9F-115F72FF28AF}"/>
    <cellStyle name="Normal 2 4 2 9" xfId="1606" xr:uid="{00000000-0005-0000-0000-0000CA0F0000}"/>
    <cellStyle name="Normal 2 4 2 9 2" xfId="3836" xr:uid="{00000000-0005-0000-0000-0000CB0F0000}"/>
    <cellStyle name="Normal 2 4 2 9 2 2" xfId="8058" xr:uid="{00000000-0005-0000-0000-0000CC0F0000}"/>
    <cellStyle name="Normal 2 4 2 9 2 2 2" xfId="16508" xr:uid="{72DE8047-DFCE-4EA0-A53F-8B1EF6E594FB}"/>
    <cellStyle name="Normal 2 4 2 9 2 3" xfId="12290" xr:uid="{0440C529-2BC0-4E46-BE94-7AC1C33D1D5A}"/>
    <cellStyle name="Normal 2 4 2 9 3" xfId="5913" xr:uid="{00000000-0005-0000-0000-0000CD0F0000}"/>
    <cellStyle name="Normal 2 4 2 9 3 2" xfId="14363" xr:uid="{AF49AD37-245D-4B55-8AF5-559381A7C675}"/>
    <cellStyle name="Normal 2 4 2 9 4" xfId="10145" xr:uid="{8E06BA24-7838-4A88-BE1C-7B9F8D181FD3}"/>
    <cellStyle name="Normal 2 4 3" xfId="296" xr:uid="{00000000-0005-0000-0000-0000CE0F0000}"/>
    <cellStyle name="Normal 2 4 3 10" xfId="8921" xr:uid="{E239FEA3-5ECF-4433-A39F-7F7D4C33E159}"/>
    <cellStyle name="Normal 2 4 3 2" xfId="297" xr:uid="{00000000-0005-0000-0000-0000CF0F0000}"/>
    <cellStyle name="Normal 2 4 3 3" xfId="298" xr:uid="{00000000-0005-0000-0000-0000D00F0000}"/>
    <cellStyle name="Normal 2 4 3 3 10" xfId="8922" xr:uid="{EFA04957-F847-4E5A-92A0-C5C4A4538AF3}"/>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2 2 2" xfId="15701" xr:uid="{DD0E6153-7A8F-42E9-9DB7-6B9D3917A019}"/>
    <cellStyle name="Normal 2 4 3 3 2 2 2 2 3" xfId="11483" xr:uid="{E82C286E-E4E5-4104-AF6A-82E9824841AF}"/>
    <cellStyle name="Normal 2 4 3 3 2 2 2 3" xfId="5106" xr:uid="{00000000-0005-0000-0000-0000D60F0000}"/>
    <cellStyle name="Normal 2 4 3 3 2 2 2 3 2" xfId="13556" xr:uid="{CD64B72B-594A-46F7-9A52-62B736DE2F37}"/>
    <cellStyle name="Normal 2 4 3 3 2 2 2 4" xfId="9338" xr:uid="{A1E65A95-DE3E-488C-B319-E847BF4F3F01}"/>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2 2 2" xfId="16114" xr:uid="{84074233-5106-4D61-A53E-B2745089C7F8}"/>
    <cellStyle name="Normal 2 4 3 3 2 2 3 2 3" xfId="11896" xr:uid="{797EC8E1-2812-4E8B-8686-F0CBBC225DC5}"/>
    <cellStyle name="Normal 2 4 3 3 2 2 3 3" xfId="5519" xr:uid="{00000000-0005-0000-0000-0000DA0F0000}"/>
    <cellStyle name="Normal 2 4 3 3 2 2 3 3 2" xfId="13969" xr:uid="{8411936D-941B-4EE9-87FD-2F68274FE303}"/>
    <cellStyle name="Normal 2 4 3 3 2 2 3 4" xfId="9751" xr:uid="{2E7761AF-58D3-491F-A75C-5132D357751F}"/>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2 2 2" xfId="16527" xr:uid="{20BAFBBD-DE25-4641-AF1A-8081DA7067E8}"/>
    <cellStyle name="Normal 2 4 3 3 2 2 4 2 3" xfId="12309" xr:uid="{CFBE82C9-FAAC-4CC4-9263-E8BEF96118CB}"/>
    <cellStyle name="Normal 2 4 3 3 2 2 4 3" xfId="5932" xr:uid="{00000000-0005-0000-0000-0000DE0F0000}"/>
    <cellStyle name="Normal 2 4 3 3 2 2 4 3 2" xfId="14382" xr:uid="{926C68AE-9B25-4822-99A7-D47F509B80D7}"/>
    <cellStyle name="Normal 2 4 3 3 2 2 4 4" xfId="10164" xr:uid="{97391F9F-A690-4073-9B93-3FA57F79AAB9}"/>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2 2 2" xfId="16940" xr:uid="{6D1B1A0C-118E-4540-A9F7-524CD761461C}"/>
    <cellStyle name="Normal 2 4 3 3 2 2 5 2 3" xfId="12722" xr:uid="{6D34965A-CA8C-418A-B9FC-8EBB00FD59C7}"/>
    <cellStyle name="Normal 2 4 3 3 2 2 5 3" xfId="6345" xr:uid="{00000000-0005-0000-0000-0000E20F0000}"/>
    <cellStyle name="Normal 2 4 3 3 2 2 5 3 2" xfId="14795" xr:uid="{193D1C43-AB1C-42BD-97D8-5A0FC2CC8345}"/>
    <cellStyle name="Normal 2 4 3 3 2 2 5 4" xfId="10577" xr:uid="{59274A8D-2EB6-4E3E-A574-28DA1124D16D}"/>
    <cellStyle name="Normal 2 4 3 3 2 2 6" xfId="2475" xr:uid="{00000000-0005-0000-0000-0000E30F0000}"/>
    <cellStyle name="Normal 2 4 3 3 2 2 6 2" xfId="6758" xr:uid="{00000000-0005-0000-0000-0000E40F0000}"/>
    <cellStyle name="Normal 2 4 3 3 2 2 6 2 2" xfId="15208" xr:uid="{304A46FE-2231-47C2-87BD-09C8F81B2BCA}"/>
    <cellStyle name="Normal 2 4 3 3 2 2 6 3" xfId="10990" xr:uid="{0F40F522-7AC8-4538-B871-B24943DAB4D5}"/>
    <cellStyle name="Normal 2 4 3 3 2 2 7" xfId="4692" xr:uid="{00000000-0005-0000-0000-0000E50F0000}"/>
    <cellStyle name="Normal 2 4 3 3 2 2 7 2" xfId="13142" xr:uid="{087A2942-D1F2-4E43-ADE6-B30CED6BF23F}"/>
    <cellStyle name="Normal 2 4 3 3 2 2 8" xfId="8924" xr:uid="{5AB18D5F-A294-4DBB-A59B-9B7E5DA53EF4}"/>
    <cellStyle name="Normal 2 4 3 3 2 3" xfId="789" xr:uid="{00000000-0005-0000-0000-0000E60F0000}"/>
    <cellStyle name="Normal 2 4 3 3 2 3 2" xfId="3028" xr:uid="{00000000-0005-0000-0000-0000E70F0000}"/>
    <cellStyle name="Normal 2 4 3 3 2 3 2 2" xfId="7250" xr:uid="{00000000-0005-0000-0000-0000E80F0000}"/>
    <cellStyle name="Normal 2 4 3 3 2 3 2 2 2" xfId="15700" xr:uid="{2F81C0F2-38B4-4D5F-B875-503987A217DB}"/>
    <cellStyle name="Normal 2 4 3 3 2 3 2 3" xfId="11482" xr:uid="{56DC56E9-73D2-4C73-BD00-6F3765132AC3}"/>
    <cellStyle name="Normal 2 4 3 3 2 3 3" xfId="5105" xr:uid="{00000000-0005-0000-0000-0000E90F0000}"/>
    <cellStyle name="Normal 2 4 3 3 2 3 3 2" xfId="13555" xr:uid="{CBE67FB3-C9D3-42E1-B7EC-294C9966EF25}"/>
    <cellStyle name="Normal 2 4 3 3 2 3 4" xfId="9337" xr:uid="{3E2B757F-E88B-4C53-9D34-82EB62135DDC}"/>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2 2 2" xfId="16113" xr:uid="{6787F5F5-6C14-4CF9-BA55-E5A863FE8400}"/>
    <cellStyle name="Normal 2 4 3 3 2 4 2 3" xfId="11895" xr:uid="{2A49868D-70C9-4A05-88D2-026419C0B152}"/>
    <cellStyle name="Normal 2 4 3 3 2 4 3" xfId="5518" xr:uid="{00000000-0005-0000-0000-0000ED0F0000}"/>
    <cellStyle name="Normal 2 4 3 3 2 4 3 2" xfId="13968" xr:uid="{99254828-5A05-406E-8508-329E27CAFAB0}"/>
    <cellStyle name="Normal 2 4 3 3 2 4 4" xfId="9750" xr:uid="{BF493B53-FECA-470E-BA8D-33C70EAC22D2}"/>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2 2 2" xfId="16526" xr:uid="{3C5382DD-BD82-4DB3-B763-57344A361B14}"/>
    <cellStyle name="Normal 2 4 3 3 2 5 2 3" xfId="12308" xr:uid="{167237D8-FEED-4191-BE2B-CED5D4E5F14A}"/>
    <cellStyle name="Normal 2 4 3 3 2 5 3" xfId="5931" xr:uid="{00000000-0005-0000-0000-0000F10F0000}"/>
    <cellStyle name="Normal 2 4 3 3 2 5 3 2" xfId="14381" xr:uid="{A834BCFF-8B53-46C7-B7BC-33445341058B}"/>
    <cellStyle name="Normal 2 4 3 3 2 5 4" xfId="10163" xr:uid="{1EC970BF-C516-431F-A501-81F40BAC6143}"/>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2 2 2" xfId="16939" xr:uid="{D10A7330-9976-4F94-AAD1-D1ECB56A4EB6}"/>
    <cellStyle name="Normal 2 4 3 3 2 6 2 3" xfId="12721" xr:uid="{B703D027-4817-4728-9E30-35C6C57EC52D}"/>
    <cellStyle name="Normal 2 4 3 3 2 6 3" xfId="6344" xr:uid="{00000000-0005-0000-0000-0000F50F0000}"/>
    <cellStyle name="Normal 2 4 3 3 2 6 3 2" xfId="14794" xr:uid="{6EC8EBFB-EBA2-4D91-99AC-E645434CCBD8}"/>
    <cellStyle name="Normal 2 4 3 3 2 6 4" xfId="10576" xr:uid="{10784BB3-6A9D-4303-8F6B-D51175C92385}"/>
    <cellStyle name="Normal 2 4 3 3 2 7" xfId="2474" xr:uid="{00000000-0005-0000-0000-0000F60F0000}"/>
    <cellStyle name="Normal 2 4 3 3 2 7 2" xfId="6757" xr:uid="{00000000-0005-0000-0000-0000F70F0000}"/>
    <cellStyle name="Normal 2 4 3 3 2 7 2 2" xfId="15207" xr:uid="{7D66C351-B230-4403-A389-72A839C2ADD0}"/>
    <cellStyle name="Normal 2 4 3 3 2 7 3" xfId="10989" xr:uid="{80EC6BE4-96C2-47E3-BD0D-88A0A4EE2FE8}"/>
    <cellStyle name="Normal 2 4 3 3 2 8" xfId="4691" xr:uid="{00000000-0005-0000-0000-0000F80F0000}"/>
    <cellStyle name="Normal 2 4 3 3 2 8 2" xfId="13141" xr:uid="{D6BF28DB-1448-4EA2-BA4E-64DDA6885293}"/>
    <cellStyle name="Normal 2 4 3 3 2 9" xfId="8923" xr:uid="{D86A7C27-1D55-4790-B5F2-D7789241A5A9}"/>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2 2 2" xfId="15702" xr:uid="{FA2F1C66-F18B-4177-9CF9-5627DB0FEA6C}"/>
    <cellStyle name="Normal 2 4 3 3 3 2 2 3" xfId="11484" xr:uid="{94AFF023-8598-41B0-95B9-6AC171A58C7E}"/>
    <cellStyle name="Normal 2 4 3 3 3 2 3" xfId="5107" xr:uid="{00000000-0005-0000-0000-0000FD0F0000}"/>
    <cellStyle name="Normal 2 4 3 3 3 2 3 2" xfId="13557" xr:uid="{B7CC59F2-C644-4FC8-ACA0-9513479C4991}"/>
    <cellStyle name="Normal 2 4 3 3 3 2 4" xfId="9339" xr:uid="{E5122C92-AFEB-4DB0-AAC4-BCAD79E8441A}"/>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2 2 2" xfId="16115" xr:uid="{672F1371-DF30-4519-AC72-A1FAE45E9C71}"/>
    <cellStyle name="Normal 2 4 3 3 3 3 2 3" xfId="11897" xr:uid="{B1CE9D67-E55D-4580-88EB-1A4241AF0489}"/>
    <cellStyle name="Normal 2 4 3 3 3 3 3" xfId="5520" xr:uid="{00000000-0005-0000-0000-000001100000}"/>
    <cellStyle name="Normal 2 4 3 3 3 3 3 2" xfId="13970" xr:uid="{CF288FF8-65C1-4438-BDB5-863271EBD7BD}"/>
    <cellStyle name="Normal 2 4 3 3 3 3 4" xfId="9752" xr:uid="{FA0C520B-EF2A-4C13-9D30-1C8D66DC0973}"/>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2 2 2" xfId="16528" xr:uid="{77B8D2A2-B03A-45CD-8D65-792DA5CF3F4B}"/>
    <cellStyle name="Normal 2 4 3 3 3 4 2 3" xfId="12310" xr:uid="{3D6379C3-E1FE-4192-BB47-0AEC200ED4D3}"/>
    <cellStyle name="Normal 2 4 3 3 3 4 3" xfId="5933" xr:uid="{00000000-0005-0000-0000-000005100000}"/>
    <cellStyle name="Normal 2 4 3 3 3 4 3 2" xfId="14383" xr:uid="{735B9A34-9902-4AA1-BE8C-9B589D031BA9}"/>
    <cellStyle name="Normal 2 4 3 3 3 4 4" xfId="10165" xr:uid="{75EC09AF-0C1D-409B-923D-97C97C68168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2 2 2" xfId="16941" xr:uid="{593135AA-4340-448B-ACD5-667E8271CF4E}"/>
    <cellStyle name="Normal 2 4 3 3 3 5 2 3" xfId="12723" xr:uid="{E7340133-5979-45FA-A0D7-AE089433953A}"/>
    <cellStyle name="Normal 2 4 3 3 3 5 3" xfId="6346" xr:uid="{00000000-0005-0000-0000-000009100000}"/>
    <cellStyle name="Normal 2 4 3 3 3 5 3 2" xfId="14796" xr:uid="{D5CFB713-6A8F-4253-A3EB-8DF87B8394B3}"/>
    <cellStyle name="Normal 2 4 3 3 3 5 4" xfId="10578" xr:uid="{7B2970FB-3459-40C9-9984-7C8F6B2B7B06}"/>
    <cellStyle name="Normal 2 4 3 3 3 6" xfId="2476" xr:uid="{00000000-0005-0000-0000-00000A100000}"/>
    <cellStyle name="Normal 2 4 3 3 3 6 2" xfId="6759" xr:uid="{00000000-0005-0000-0000-00000B100000}"/>
    <cellStyle name="Normal 2 4 3 3 3 6 2 2" xfId="15209" xr:uid="{ECFEEEEE-E70B-49D4-A943-97EAC761D028}"/>
    <cellStyle name="Normal 2 4 3 3 3 6 3" xfId="10991" xr:uid="{19868649-351F-42DD-8F27-52A1E7D0B8B8}"/>
    <cellStyle name="Normal 2 4 3 3 3 7" xfId="4693" xr:uid="{00000000-0005-0000-0000-00000C100000}"/>
    <cellStyle name="Normal 2 4 3 3 3 7 2" xfId="13143" xr:uid="{6A806F5B-A76A-4E76-9E08-16E8B8588445}"/>
    <cellStyle name="Normal 2 4 3 3 3 8" xfId="8925" xr:uid="{C2809749-8D8F-427A-A582-43926CF8400B}"/>
    <cellStyle name="Normal 2 4 3 3 4" xfId="788" xr:uid="{00000000-0005-0000-0000-00000D100000}"/>
    <cellStyle name="Normal 2 4 3 3 4 2" xfId="3027" xr:uid="{00000000-0005-0000-0000-00000E100000}"/>
    <cellStyle name="Normal 2 4 3 3 4 2 2" xfId="7249" xr:uid="{00000000-0005-0000-0000-00000F100000}"/>
    <cellStyle name="Normal 2 4 3 3 4 2 2 2" xfId="15699" xr:uid="{36E74D5B-E837-4EDA-A5D8-51AAC9B92EF8}"/>
    <cellStyle name="Normal 2 4 3 3 4 2 3" xfId="11481" xr:uid="{0D109E1A-BDC6-43B4-B8CC-D9B3D28BE22E}"/>
    <cellStyle name="Normal 2 4 3 3 4 3" xfId="5104" xr:uid="{00000000-0005-0000-0000-000010100000}"/>
    <cellStyle name="Normal 2 4 3 3 4 3 2" xfId="13554" xr:uid="{F78FE6F0-3F85-4B43-A703-CF6162FC746F}"/>
    <cellStyle name="Normal 2 4 3 3 4 4" xfId="9336" xr:uid="{D4781FFF-B54A-425C-A85B-B76E9CFADD7D}"/>
    <cellStyle name="Normal 2 4 3 3 5" xfId="1210" xr:uid="{00000000-0005-0000-0000-000011100000}"/>
    <cellStyle name="Normal 2 4 3 3 5 2" xfId="3440" xr:uid="{00000000-0005-0000-0000-000012100000}"/>
    <cellStyle name="Normal 2 4 3 3 5 2 2" xfId="7662" xr:uid="{00000000-0005-0000-0000-000013100000}"/>
    <cellStyle name="Normal 2 4 3 3 5 2 2 2" xfId="16112" xr:uid="{AAC64D92-5A86-4F3E-A255-D5509D1F72C9}"/>
    <cellStyle name="Normal 2 4 3 3 5 2 3" xfId="11894" xr:uid="{3F007CB1-952B-4E29-A951-C1FFD97F7CD4}"/>
    <cellStyle name="Normal 2 4 3 3 5 3" xfId="5517" xr:uid="{00000000-0005-0000-0000-000014100000}"/>
    <cellStyle name="Normal 2 4 3 3 5 3 2" xfId="13967" xr:uid="{DB93E78D-0268-444D-95DD-5A7310CCB074}"/>
    <cellStyle name="Normal 2 4 3 3 5 4" xfId="9749" xr:uid="{E830E45A-E535-4A03-8F62-8C7157CB62DD}"/>
    <cellStyle name="Normal 2 4 3 3 6" xfId="1623" xr:uid="{00000000-0005-0000-0000-000015100000}"/>
    <cellStyle name="Normal 2 4 3 3 6 2" xfId="3853" xr:uid="{00000000-0005-0000-0000-000016100000}"/>
    <cellStyle name="Normal 2 4 3 3 6 2 2" xfId="8075" xr:uid="{00000000-0005-0000-0000-000017100000}"/>
    <cellStyle name="Normal 2 4 3 3 6 2 2 2" xfId="16525" xr:uid="{6DE10256-C08E-4E85-AE5F-C17373CF003B}"/>
    <cellStyle name="Normal 2 4 3 3 6 2 3" xfId="12307" xr:uid="{129C3BCC-DFD3-4597-BDB9-7572B7E89D40}"/>
    <cellStyle name="Normal 2 4 3 3 6 3" xfId="5930" xr:uid="{00000000-0005-0000-0000-000018100000}"/>
    <cellStyle name="Normal 2 4 3 3 6 3 2" xfId="14380" xr:uid="{6CF510B5-2C8A-474A-A593-30DF472B3885}"/>
    <cellStyle name="Normal 2 4 3 3 6 4" xfId="10162" xr:uid="{36DE8CC7-A808-49A8-B2D7-754B1CC6CB4B}"/>
    <cellStyle name="Normal 2 4 3 3 7" xfId="2037" xr:uid="{00000000-0005-0000-0000-000019100000}"/>
    <cellStyle name="Normal 2 4 3 3 7 2" xfId="4266" xr:uid="{00000000-0005-0000-0000-00001A100000}"/>
    <cellStyle name="Normal 2 4 3 3 7 2 2" xfId="8488" xr:uid="{00000000-0005-0000-0000-00001B100000}"/>
    <cellStyle name="Normal 2 4 3 3 7 2 2 2" xfId="16938" xr:uid="{D0E58776-6446-4E19-B95D-85E1BD5A9FFD}"/>
    <cellStyle name="Normal 2 4 3 3 7 2 3" xfId="12720" xr:uid="{9F2E757A-764D-4AA4-910D-4EE04671D6AC}"/>
    <cellStyle name="Normal 2 4 3 3 7 3" xfId="6343" xr:uid="{00000000-0005-0000-0000-00001C100000}"/>
    <cellStyle name="Normal 2 4 3 3 7 3 2" xfId="14793" xr:uid="{A4F2DAFD-2A85-4D37-886F-89D8843F5DC3}"/>
    <cellStyle name="Normal 2 4 3 3 7 4" xfId="10575" xr:uid="{8770599F-1CD8-496E-BA30-8068C145446A}"/>
    <cellStyle name="Normal 2 4 3 3 8" xfId="2473" xr:uid="{00000000-0005-0000-0000-00001D100000}"/>
    <cellStyle name="Normal 2 4 3 3 8 2" xfId="6756" xr:uid="{00000000-0005-0000-0000-00001E100000}"/>
    <cellStyle name="Normal 2 4 3 3 8 2 2" xfId="15206" xr:uid="{70A71ECA-CA38-48B1-8689-201815810436}"/>
    <cellStyle name="Normal 2 4 3 3 8 3" xfId="10988" xr:uid="{4CA3210C-F8D0-4C8F-BAA7-B00E168E4954}"/>
    <cellStyle name="Normal 2 4 3 3 9" xfId="4690" xr:uid="{00000000-0005-0000-0000-00001F100000}"/>
    <cellStyle name="Normal 2 4 3 3 9 2" xfId="13140" xr:uid="{FC1B50B4-4910-4242-82D4-E432BF6E31BE}"/>
    <cellStyle name="Normal 2 4 3 4" xfId="787" xr:uid="{00000000-0005-0000-0000-000020100000}"/>
    <cellStyle name="Normal 2 4 3 4 2" xfId="3026" xr:uid="{00000000-0005-0000-0000-000021100000}"/>
    <cellStyle name="Normal 2 4 3 4 2 2" xfId="7248" xr:uid="{00000000-0005-0000-0000-000022100000}"/>
    <cellStyle name="Normal 2 4 3 4 2 2 2" xfId="15698" xr:uid="{E9F40456-00AE-48C9-960C-7B6E2E7EEF60}"/>
    <cellStyle name="Normal 2 4 3 4 2 3" xfId="11480" xr:uid="{2B547DF6-C2B0-41C0-A7B6-BF7567D18302}"/>
    <cellStyle name="Normal 2 4 3 4 3" xfId="5103" xr:uid="{00000000-0005-0000-0000-000023100000}"/>
    <cellStyle name="Normal 2 4 3 4 3 2" xfId="13553" xr:uid="{81D8A1F4-F82F-4DBF-9825-DD1167F517B3}"/>
    <cellStyle name="Normal 2 4 3 4 4" xfId="9335" xr:uid="{57128B07-0D7A-40AF-859A-701F418B343B}"/>
    <cellStyle name="Normal 2 4 3 5" xfId="1209" xr:uid="{00000000-0005-0000-0000-000024100000}"/>
    <cellStyle name="Normal 2 4 3 5 2" xfId="3439" xr:uid="{00000000-0005-0000-0000-000025100000}"/>
    <cellStyle name="Normal 2 4 3 5 2 2" xfId="7661" xr:uid="{00000000-0005-0000-0000-000026100000}"/>
    <cellStyle name="Normal 2 4 3 5 2 2 2" xfId="16111" xr:uid="{9DA3E185-4F0C-4378-91B3-4FF880E0C769}"/>
    <cellStyle name="Normal 2 4 3 5 2 3" xfId="11893" xr:uid="{E11CA643-A169-46E3-9A12-941B243F2839}"/>
    <cellStyle name="Normal 2 4 3 5 3" xfId="5516" xr:uid="{00000000-0005-0000-0000-000027100000}"/>
    <cellStyle name="Normal 2 4 3 5 3 2" xfId="13966" xr:uid="{D6D6D620-95EC-4931-98A7-E53ABE621F9D}"/>
    <cellStyle name="Normal 2 4 3 5 4" xfId="9748" xr:uid="{1D34B789-E805-4F70-B5A5-908D7220D636}"/>
    <cellStyle name="Normal 2 4 3 6" xfId="1622" xr:uid="{00000000-0005-0000-0000-000028100000}"/>
    <cellStyle name="Normal 2 4 3 6 2" xfId="3852" xr:uid="{00000000-0005-0000-0000-000029100000}"/>
    <cellStyle name="Normal 2 4 3 6 2 2" xfId="8074" xr:uid="{00000000-0005-0000-0000-00002A100000}"/>
    <cellStyle name="Normal 2 4 3 6 2 2 2" xfId="16524" xr:uid="{E022A589-9A1F-4186-ACD1-560AB5E4F958}"/>
    <cellStyle name="Normal 2 4 3 6 2 3" xfId="12306" xr:uid="{F611749F-B7F2-4B83-86BB-5AA9F1EBE725}"/>
    <cellStyle name="Normal 2 4 3 6 3" xfId="5929" xr:uid="{00000000-0005-0000-0000-00002B100000}"/>
    <cellStyle name="Normal 2 4 3 6 3 2" xfId="14379" xr:uid="{2677CC4C-04CD-4326-843A-DE6987EFE109}"/>
    <cellStyle name="Normal 2 4 3 6 4" xfId="10161" xr:uid="{AE99DFA3-8DAF-420D-B8E8-625F1322515C}"/>
    <cellStyle name="Normal 2 4 3 7" xfId="2036" xr:uid="{00000000-0005-0000-0000-00002C100000}"/>
    <cellStyle name="Normal 2 4 3 7 2" xfId="4265" xr:uid="{00000000-0005-0000-0000-00002D100000}"/>
    <cellStyle name="Normal 2 4 3 7 2 2" xfId="8487" xr:uid="{00000000-0005-0000-0000-00002E100000}"/>
    <cellStyle name="Normal 2 4 3 7 2 2 2" xfId="16937" xr:uid="{0AE15FFA-D2E3-4402-AF67-E9FE8C8C46F0}"/>
    <cellStyle name="Normal 2 4 3 7 2 3" xfId="12719" xr:uid="{C4709525-5A89-4871-896F-1648491E3ACB}"/>
    <cellStyle name="Normal 2 4 3 7 3" xfId="6342" xr:uid="{00000000-0005-0000-0000-00002F100000}"/>
    <cellStyle name="Normal 2 4 3 7 3 2" xfId="14792" xr:uid="{D4AE6CE8-5E70-4E7C-BA1E-623317E303C0}"/>
    <cellStyle name="Normal 2 4 3 7 4" xfId="10574" xr:uid="{B85A299D-963D-4DE1-8218-F04D497E96EB}"/>
    <cellStyle name="Normal 2 4 3 8" xfId="2472" xr:uid="{00000000-0005-0000-0000-000030100000}"/>
    <cellStyle name="Normal 2 4 3 8 2" xfId="6755" xr:uid="{00000000-0005-0000-0000-000031100000}"/>
    <cellStyle name="Normal 2 4 3 8 2 2" xfId="15205" xr:uid="{7A5168DF-FC68-48D2-B4E0-19C87BF9FF6B}"/>
    <cellStyle name="Normal 2 4 3 8 3" xfId="10987" xr:uid="{7E0C7598-5DF7-4CAD-B78F-1DDC40E7BA41}"/>
    <cellStyle name="Normal 2 4 3 9" xfId="4689" xr:uid="{00000000-0005-0000-0000-000032100000}"/>
    <cellStyle name="Normal 2 4 3 9 2" xfId="13139" xr:uid="{48E5945B-3699-4F41-9DB6-0EFBCFA3E0F6}"/>
    <cellStyle name="Normal 2 4 4" xfId="302" xr:uid="{00000000-0005-0000-0000-000033100000}"/>
    <cellStyle name="Normal 2 4 5" xfId="303" xr:uid="{00000000-0005-0000-0000-000034100000}"/>
    <cellStyle name="Normal 2 4 5 10" xfId="4694" xr:uid="{00000000-0005-0000-0000-000035100000}"/>
    <cellStyle name="Normal 2 4 5 10 2" xfId="13144" xr:uid="{E2BC56AF-6A2E-4C90-B38B-D2C22A0FC721}"/>
    <cellStyle name="Normal 2 4 5 11" xfId="8926" xr:uid="{0B08282D-BCBD-4B22-B0C4-518BC1A098D6}"/>
    <cellStyle name="Normal 2 4 5 2" xfId="304" xr:uid="{00000000-0005-0000-0000-000036100000}"/>
    <cellStyle name="Normal 2 4 5 2 10" xfId="8927" xr:uid="{9EE920FB-44DA-4F14-924B-1C736CD1A5FB}"/>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2 2 2" xfId="15706" xr:uid="{8B25DDF6-CDDF-4719-A1DD-AD5F0D8D9343}"/>
    <cellStyle name="Normal 2 4 5 2 2 2 2 2 3" xfId="11488" xr:uid="{65E9BF2D-8831-4C28-8CF4-D17F5AB541C7}"/>
    <cellStyle name="Normal 2 4 5 2 2 2 2 3" xfId="5111" xr:uid="{00000000-0005-0000-0000-00003C100000}"/>
    <cellStyle name="Normal 2 4 5 2 2 2 2 3 2" xfId="13561" xr:uid="{2D84ED53-BACC-40A2-8968-7B4E5436B0BB}"/>
    <cellStyle name="Normal 2 4 5 2 2 2 2 4" xfId="9343" xr:uid="{FB8AFA7C-5D5C-484B-991F-94D66CFCEABF}"/>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2 2 2" xfId="16119" xr:uid="{E9961222-0F63-4AD1-9FD7-EE9C3EAAAE32}"/>
    <cellStyle name="Normal 2 4 5 2 2 2 3 2 3" xfId="11901" xr:uid="{BC62A30C-A31F-4930-82D3-F1F29CFD6EE8}"/>
    <cellStyle name="Normal 2 4 5 2 2 2 3 3" xfId="5524" xr:uid="{00000000-0005-0000-0000-000040100000}"/>
    <cellStyle name="Normal 2 4 5 2 2 2 3 3 2" xfId="13974" xr:uid="{DE90DF90-28D6-432F-A08C-181327360AD1}"/>
    <cellStyle name="Normal 2 4 5 2 2 2 3 4" xfId="9756" xr:uid="{BBCB879A-B568-4338-B036-A8FEB9AA9DD4}"/>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2 2 2" xfId="16532" xr:uid="{0B7F537E-B9B7-438F-AEF3-FC27E0DCEC40}"/>
    <cellStyle name="Normal 2 4 5 2 2 2 4 2 3" xfId="12314" xr:uid="{6A3AF604-228A-4905-BA02-600A14AD8219}"/>
    <cellStyle name="Normal 2 4 5 2 2 2 4 3" xfId="5937" xr:uid="{00000000-0005-0000-0000-000044100000}"/>
    <cellStyle name="Normal 2 4 5 2 2 2 4 3 2" xfId="14387" xr:uid="{785F5005-BC11-4870-BE18-6E203BB59F48}"/>
    <cellStyle name="Normal 2 4 5 2 2 2 4 4" xfId="10169" xr:uid="{35357681-8BCA-4540-AB18-BB07BB7DEBF2}"/>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2 2 2" xfId="16945" xr:uid="{F3A376A8-D732-4541-A12C-B8CD02D2B4EA}"/>
    <cellStyle name="Normal 2 4 5 2 2 2 5 2 3" xfId="12727" xr:uid="{C46B2233-D3B5-4290-9DAB-104A9194460B}"/>
    <cellStyle name="Normal 2 4 5 2 2 2 5 3" xfId="6350" xr:uid="{00000000-0005-0000-0000-000048100000}"/>
    <cellStyle name="Normal 2 4 5 2 2 2 5 3 2" xfId="14800" xr:uid="{F4016A02-879A-4B5D-A7B3-C5B052D12D2A}"/>
    <cellStyle name="Normal 2 4 5 2 2 2 5 4" xfId="10582" xr:uid="{ED827932-9D94-4B30-8CFE-86758C61324D}"/>
    <cellStyle name="Normal 2 4 5 2 2 2 6" xfId="2480" xr:uid="{00000000-0005-0000-0000-000049100000}"/>
    <cellStyle name="Normal 2 4 5 2 2 2 6 2" xfId="6763" xr:uid="{00000000-0005-0000-0000-00004A100000}"/>
    <cellStyle name="Normal 2 4 5 2 2 2 6 2 2" xfId="15213" xr:uid="{7BCFA0C8-FF9B-4E25-BF90-38DC4BDC8227}"/>
    <cellStyle name="Normal 2 4 5 2 2 2 6 3" xfId="10995" xr:uid="{FD80765E-2A0D-43C1-966D-10E987B4D9D2}"/>
    <cellStyle name="Normal 2 4 5 2 2 2 7" xfId="4697" xr:uid="{00000000-0005-0000-0000-00004B100000}"/>
    <cellStyle name="Normal 2 4 5 2 2 2 7 2" xfId="13147" xr:uid="{4519796D-B415-4FE1-BC7F-106A8BCC7309}"/>
    <cellStyle name="Normal 2 4 5 2 2 2 8" xfId="8929" xr:uid="{BA159AFE-90EF-4C73-899C-3234FCA22DF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2 2 2" xfId="15705" xr:uid="{9AC0647A-04D6-489A-A791-7DC78DED3773}"/>
    <cellStyle name="Normal 2 4 5 2 2 3 2 3" xfId="11487" xr:uid="{9313A901-B86E-411E-A614-D4B8182C961E}"/>
    <cellStyle name="Normal 2 4 5 2 2 3 3" xfId="5110" xr:uid="{00000000-0005-0000-0000-00004F100000}"/>
    <cellStyle name="Normal 2 4 5 2 2 3 3 2" xfId="13560" xr:uid="{DA0F889E-E93E-493F-AC02-F8640DA51860}"/>
    <cellStyle name="Normal 2 4 5 2 2 3 4" xfId="9342" xr:uid="{F9EA0B6A-C10B-4500-AA13-2939524DE334}"/>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2 2 2" xfId="16118" xr:uid="{E3699B3A-02AD-47BB-AC1A-EABE523A69C7}"/>
    <cellStyle name="Normal 2 4 5 2 2 4 2 3" xfId="11900" xr:uid="{09D2EB44-57A4-4385-9D16-D74BCDF21686}"/>
    <cellStyle name="Normal 2 4 5 2 2 4 3" xfId="5523" xr:uid="{00000000-0005-0000-0000-000053100000}"/>
    <cellStyle name="Normal 2 4 5 2 2 4 3 2" xfId="13973" xr:uid="{F0B94308-9700-48F3-BE50-B0DFD9D8CCE4}"/>
    <cellStyle name="Normal 2 4 5 2 2 4 4" xfId="9755" xr:uid="{58DE1F8B-D159-4DBA-90D6-AF78537D4CEC}"/>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2 2 2" xfId="16531" xr:uid="{EAEFF32F-FADA-4DB3-BEFF-63ACDDF43AEC}"/>
    <cellStyle name="Normal 2 4 5 2 2 5 2 3" xfId="12313" xr:uid="{4E231D4A-DCDD-4E43-9799-26A348C44265}"/>
    <cellStyle name="Normal 2 4 5 2 2 5 3" xfId="5936" xr:uid="{00000000-0005-0000-0000-000057100000}"/>
    <cellStyle name="Normal 2 4 5 2 2 5 3 2" xfId="14386" xr:uid="{B0B82BD8-D78B-4CBE-8FD1-227395C0B1F9}"/>
    <cellStyle name="Normal 2 4 5 2 2 5 4" xfId="10168" xr:uid="{A6B3BE46-E88A-4480-9470-B2F42A99E086}"/>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2 2 2" xfId="16944" xr:uid="{4EE4E285-88AD-4F49-A0C1-3E38EA8E7E54}"/>
    <cellStyle name="Normal 2 4 5 2 2 6 2 3" xfId="12726" xr:uid="{8AD2CFB5-CE76-43B2-9D7B-61373D03C8E6}"/>
    <cellStyle name="Normal 2 4 5 2 2 6 3" xfId="6349" xr:uid="{00000000-0005-0000-0000-00005B100000}"/>
    <cellStyle name="Normal 2 4 5 2 2 6 3 2" xfId="14799" xr:uid="{3CFEA17D-821D-4198-B18D-C735F4A06C03}"/>
    <cellStyle name="Normal 2 4 5 2 2 6 4" xfId="10581" xr:uid="{F17D4CB4-FA17-4870-800A-E22A17DCFC3A}"/>
    <cellStyle name="Normal 2 4 5 2 2 7" xfId="2479" xr:uid="{00000000-0005-0000-0000-00005C100000}"/>
    <cellStyle name="Normal 2 4 5 2 2 7 2" xfId="6762" xr:uid="{00000000-0005-0000-0000-00005D100000}"/>
    <cellStyle name="Normal 2 4 5 2 2 7 2 2" xfId="15212" xr:uid="{546A5ECA-1A73-4DF9-BF1B-E56CC7952209}"/>
    <cellStyle name="Normal 2 4 5 2 2 7 3" xfId="10994" xr:uid="{4DDEBA12-A22C-4AED-BFA8-E5BE90F78664}"/>
    <cellStyle name="Normal 2 4 5 2 2 8" xfId="4696" xr:uid="{00000000-0005-0000-0000-00005E100000}"/>
    <cellStyle name="Normal 2 4 5 2 2 8 2" xfId="13146" xr:uid="{E214D298-59A4-4C45-8F64-6229D21CF28D}"/>
    <cellStyle name="Normal 2 4 5 2 2 9" xfId="8928" xr:uid="{289F6FA8-FE1E-4D15-B68F-CDB229FC237A}"/>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2 2 2" xfId="15707" xr:uid="{706A27D0-17DB-47D5-B341-358B1AE0F61D}"/>
    <cellStyle name="Normal 2 4 5 2 3 2 2 3" xfId="11489" xr:uid="{34875474-4487-4287-A140-DC56556029BF}"/>
    <cellStyle name="Normal 2 4 5 2 3 2 3" xfId="5112" xr:uid="{00000000-0005-0000-0000-000063100000}"/>
    <cellStyle name="Normal 2 4 5 2 3 2 3 2" xfId="13562" xr:uid="{2249F52D-2884-488C-B4DC-E22E788E180B}"/>
    <cellStyle name="Normal 2 4 5 2 3 2 4" xfId="9344" xr:uid="{9A90A8A4-C740-4E3B-A96A-85F9BAF780B4}"/>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2 2 2" xfId="16120" xr:uid="{2E0AB354-221C-4196-B5B8-0D3E8E77D1E5}"/>
    <cellStyle name="Normal 2 4 5 2 3 3 2 3" xfId="11902" xr:uid="{B99F1C07-5EE0-4065-B71C-300F43C65F70}"/>
    <cellStyle name="Normal 2 4 5 2 3 3 3" xfId="5525" xr:uid="{00000000-0005-0000-0000-000067100000}"/>
    <cellStyle name="Normal 2 4 5 2 3 3 3 2" xfId="13975" xr:uid="{BCDEC905-3438-4B89-B158-90E367578511}"/>
    <cellStyle name="Normal 2 4 5 2 3 3 4" xfId="9757" xr:uid="{26F5894B-E146-4FDE-87E3-A35E4A1DF17C}"/>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2 2 2" xfId="16533" xr:uid="{A552B358-1A6E-4F0E-8469-1F520F94A80E}"/>
    <cellStyle name="Normal 2 4 5 2 3 4 2 3" xfId="12315" xr:uid="{030D12BD-22A4-4581-AEF2-E70C78CF3E2F}"/>
    <cellStyle name="Normal 2 4 5 2 3 4 3" xfId="5938" xr:uid="{00000000-0005-0000-0000-00006B100000}"/>
    <cellStyle name="Normal 2 4 5 2 3 4 3 2" xfId="14388" xr:uid="{3AA99F67-853E-4B91-A91D-9267E99614F6}"/>
    <cellStyle name="Normal 2 4 5 2 3 4 4" xfId="10170" xr:uid="{F9862F43-CDA9-4B88-A5C8-D6C5AB26DD06}"/>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2 2 2" xfId="16946" xr:uid="{F221C4D8-8F96-4427-8F98-BC1AE7FF40F5}"/>
    <cellStyle name="Normal 2 4 5 2 3 5 2 3" xfId="12728" xr:uid="{0DF6AF1B-5B7B-489E-9AED-41AD474D4AC6}"/>
    <cellStyle name="Normal 2 4 5 2 3 5 3" xfId="6351" xr:uid="{00000000-0005-0000-0000-00006F100000}"/>
    <cellStyle name="Normal 2 4 5 2 3 5 3 2" xfId="14801" xr:uid="{57AE683E-9371-4CDA-9FA5-5D1F2EC12E10}"/>
    <cellStyle name="Normal 2 4 5 2 3 5 4" xfId="10583" xr:uid="{F150E039-4F0E-4D83-8A77-3FEE98EB967F}"/>
    <cellStyle name="Normal 2 4 5 2 3 6" xfId="2481" xr:uid="{00000000-0005-0000-0000-000070100000}"/>
    <cellStyle name="Normal 2 4 5 2 3 6 2" xfId="6764" xr:uid="{00000000-0005-0000-0000-000071100000}"/>
    <cellStyle name="Normal 2 4 5 2 3 6 2 2" xfId="15214" xr:uid="{05E9425F-B05C-4FF7-B8E8-BDE4A78DCD17}"/>
    <cellStyle name="Normal 2 4 5 2 3 6 3" xfId="10996" xr:uid="{10E01405-63EF-4EBA-B78C-86F34F4428F5}"/>
    <cellStyle name="Normal 2 4 5 2 3 7" xfId="4698" xr:uid="{00000000-0005-0000-0000-000072100000}"/>
    <cellStyle name="Normal 2 4 5 2 3 7 2" xfId="13148" xr:uid="{FBD863D4-CC28-4616-B82B-1A17001816FF}"/>
    <cellStyle name="Normal 2 4 5 2 3 8" xfId="8930" xr:uid="{BE9B6BF5-45C8-4537-885E-953ABF203299}"/>
    <cellStyle name="Normal 2 4 5 2 4" xfId="793" xr:uid="{00000000-0005-0000-0000-000073100000}"/>
    <cellStyle name="Normal 2 4 5 2 4 2" xfId="3032" xr:uid="{00000000-0005-0000-0000-000074100000}"/>
    <cellStyle name="Normal 2 4 5 2 4 2 2" xfId="7254" xr:uid="{00000000-0005-0000-0000-000075100000}"/>
    <cellStyle name="Normal 2 4 5 2 4 2 2 2" xfId="15704" xr:uid="{389AA3F8-0915-42FA-9FC3-27975B87441B}"/>
    <cellStyle name="Normal 2 4 5 2 4 2 3" xfId="11486" xr:uid="{BC85573D-4BB9-4666-95DA-CE92D443A428}"/>
    <cellStyle name="Normal 2 4 5 2 4 3" xfId="5109" xr:uid="{00000000-0005-0000-0000-000076100000}"/>
    <cellStyle name="Normal 2 4 5 2 4 3 2" xfId="13559" xr:uid="{F074E0FF-A863-4447-A901-5E1EBD1E663F}"/>
    <cellStyle name="Normal 2 4 5 2 4 4" xfId="9341" xr:uid="{39D45AEB-917E-4DDE-A893-CB029BBA242D}"/>
    <cellStyle name="Normal 2 4 5 2 5" xfId="1215" xr:uid="{00000000-0005-0000-0000-000077100000}"/>
    <cellStyle name="Normal 2 4 5 2 5 2" xfId="3445" xr:uid="{00000000-0005-0000-0000-000078100000}"/>
    <cellStyle name="Normal 2 4 5 2 5 2 2" xfId="7667" xr:uid="{00000000-0005-0000-0000-000079100000}"/>
    <cellStyle name="Normal 2 4 5 2 5 2 2 2" xfId="16117" xr:uid="{B37AEA8B-9087-4E24-BFD9-A533303F3A56}"/>
    <cellStyle name="Normal 2 4 5 2 5 2 3" xfId="11899" xr:uid="{E7EF6B38-7C54-4E43-B644-F48B4E45EF66}"/>
    <cellStyle name="Normal 2 4 5 2 5 3" xfId="5522" xr:uid="{00000000-0005-0000-0000-00007A100000}"/>
    <cellStyle name="Normal 2 4 5 2 5 3 2" xfId="13972" xr:uid="{515D3420-2893-4AB9-AAE3-F09DFE7F8992}"/>
    <cellStyle name="Normal 2 4 5 2 5 4" xfId="9754" xr:uid="{9A920A49-4DDE-4D95-96B7-9C7B57E44FDB}"/>
    <cellStyle name="Normal 2 4 5 2 6" xfId="1628" xr:uid="{00000000-0005-0000-0000-00007B100000}"/>
    <cellStyle name="Normal 2 4 5 2 6 2" xfId="3858" xr:uid="{00000000-0005-0000-0000-00007C100000}"/>
    <cellStyle name="Normal 2 4 5 2 6 2 2" xfId="8080" xr:uid="{00000000-0005-0000-0000-00007D100000}"/>
    <cellStyle name="Normal 2 4 5 2 6 2 2 2" xfId="16530" xr:uid="{DA3C5B69-47A1-48FB-8C20-55DAA26FD0A1}"/>
    <cellStyle name="Normal 2 4 5 2 6 2 3" xfId="12312" xr:uid="{010EE679-75C4-44F8-9317-EC01D6D50BA3}"/>
    <cellStyle name="Normal 2 4 5 2 6 3" xfId="5935" xr:uid="{00000000-0005-0000-0000-00007E100000}"/>
    <cellStyle name="Normal 2 4 5 2 6 3 2" xfId="14385" xr:uid="{2A38B2CD-EED1-42B0-8689-9E88D59C27D4}"/>
    <cellStyle name="Normal 2 4 5 2 6 4" xfId="10167" xr:uid="{0B2E170B-16FB-4C93-AE19-20B8FC2CEE13}"/>
    <cellStyle name="Normal 2 4 5 2 7" xfId="2042" xr:uid="{00000000-0005-0000-0000-00007F100000}"/>
    <cellStyle name="Normal 2 4 5 2 7 2" xfId="4271" xr:uid="{00000000-0005-0000-0000-000080100000}"/>
    <cellStyle name="Normal 2 4 5 2 7 2 2" xfId="8493" xr:uid="{00000000-0005-0000-0000-000081100000}"/>
    <cellStyle name="Normal 2 4 5 2 7 2 2 2" xfId="16943" xr:uid="{55C15BE4-368B-42DB-AF31-FD5263CA5BB5}"/>
    <cellStyle name="Normal 2 4 5 2 7 2 3" xfId="12725" xr:uid="{34FB82DA-D6E2-4D72-94B1-77ED587F6EA4}"/>
    <cellStyle name="Normal 2 4 5 2 7 3" xfId="6348" xr:uid="{00000000-0005-0000-0000-000082100000}"/>
    <cellStyle name="Normal 2 4 5 2 7 3 2" xfId="14798" xr:uid="{E7DF5E69-7B70-4C3A-8840-404DB475172C}"/>
    <cellStyle name="Normal 2 4 5 2 7 4" xfId="10580" xr:uid="{86BD2FAD-895A-4CEC-A96E-058FFAB6D95D}"/>
    <cellStyle name="Normal 2 4 5 2 8" xfId="2478" xr:uid="{00000000-0005-0000-0000-000083100000}"/>
    <cellStyle name="Normal 2 4 5 2 8 2" xfId="6761" xr:uid="{00000000-0005-0000-0000-000084100000}"/>
    <cellStyle name="Normal 2 4 5 2 8 2 2" xfId="15211" xr:uid="{DCF30CA6-8586-4772-8F20-9721CFD5F0BF}"/>
    <cellStyle name="Normal 2 4 5 2 8 3" xfId="10993" xr:uid="{D818CF69-9CBF-43C3-93BA-682590EBC315}"/>
    <cellStyle name="Normal 2 4 5 2 9" xfId="4695" xr:uid="{00000000-0005-0000-0000-000085100000}"/>
    <cellStyle name="Normal 2 4 5 2 9 2" xfId="13145" xr:uid="{2511DB9A-949E-4456-AEEC-FFC9D57AE8A6}"/>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2 2 2" xfId="15709" xr:uid="{024B9FEA-40CE-49E4-AFB1-6292383B8600}"/>
    <cellStyle name="Normal 2 4 5 3 2 2 2 3" xfId="11491" xr:uid="{5F52C124-B03F-4962-B85C-65986DA9B763}"/>
    <cellStyle name="Normal 2 4 5 3 2 2 3" xfId="5114" xr:uid="{00000000-0005-0000-0000-00008B100000}"/>
    <cellStyle name="Normal 2 4 5 3 2 2 3 2" xfId="13564" xr:uid="{DBF9A29D-4FAF-48F2-8E4B-0392144698B5}"/>
    <cellStyle name="Normal 2 4 5 3 2 2 4" xfId="9346" xr:uid="{F9D69CC4-A683-407B-A7CC-1BCEED808A5A}"/>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2 2 2" xfId="16122" xr:uid="{CE1241A4-F5EB-4D23-8D67-D8A9042D7717}"/>
    <cellStyle name="Normal 2 4 5 3 2 3 2 3" xfId="11904" xr:uid="{603F3025-EE4D-467F-88F3-07978E93D691}"/>
    <cellStyle name="Normal 2 4 5 3 2 3 3" xfId="5527" xr:uid="{00000000-0005-0000-0000-00008F100000}"/>
    <cellStyle name="Normal 2 4 5 3 2 3 3 2" xfId="13977" xr:uid="{615BD856-5689-4783-8CB8-12082B5CC630}"/>
    <cellStyle name="Normal 2 4 5 3 2 3 4" xfId="9759" xr:uid="{20F7C5F4-CD86-4FD9-A28F-1F06905F7843}"/>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2 2 2" xfId="16535" xr:uid="{7C97669E-9E71-4529-A8F9-FB593DD9726F}"/>
    <cellStyle name="Normal 2 4 5 3 2 4 2 3" xfId="12317" xr:uid="{FAE0E11A-7832-4419-9780-7714FFC9D00D}"/>
    <cellStyle name="Normal 2 4 5 3 2 4 3" xfId="5940" xr:uid="{00000000-0005-0000-0000-000093100000}"/>
    <cellStyle name="Normal 2 4 5 3 2 4 3 2" xfId="14390" xr:uid="{144BAD75-E0F7-477B-84B6-83A71A2E9FC5}"/>
    <cellStyle name="Normal 2 4 5 3 2 4 4" xfId="10172" xr:uid="{9ADF2AB8-5CF3-442A-8A26-57DCEF5CA04C}"/>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2 2 2" xfId="16948" xr:uid="{54E9ABDD-EC34-44EB-98C7-95A376E537FA}"/>
    <cellStyle name="Normal 2 4 5 3 2 5 2 3" xfId="12730" xr:uid="{FD5BC261-BF99-48E3-AC0F-5ECAA0C6EAEA}"/>
    <cellStyle name="Normal 2 4 5 3 2 5 3" xfId="6353" xr:uid="{00000000-0005-0000-0000-000097100000}"/>
    <cellStyle name="Normal 2 4 5 3 2 5 3 2" xfId="14803" xr:uid="{EC66AF41-3FDE-407F-AAE2-D727D6810FBC}"/>
    <cellStyle name="Normal 2 4 5 3 2 5 4" xfId="10585" xr:uid="{A366B5B9-01B7-4409-967D-B4EDF563A496}"/>
    <cellStyle name="Normal 2 4 5 3 2 6" xfId="2483" xr:uid="{00000000-0005-0000-0000-000098100000}"/>
    <cellStyle name="Normal 2 4 5 3 2 6 2" xfId="6766" xr:uid="{00000000-0005-0000-0000-000099100000}"/>
    <cellStyle name="Normal 2 4 5 3 2 6 2 2" xfId="15216" xr:uid="{05538E4E-4E77-4131-870A-AD5C1E8B55CF}"/>
    <cellStyle name="Normal 2 4 5 3 2 6 3" xfId="10998" xr:uid="{E93E3097-E0E2-4158-99B5-64019A53E21C}"/>
    <cellStyle name="Normal 2 4 5 3 2 7" xfId="4700" xr:uid="{00000000-0005-0000-0000-00009A100000}"/>
    <cellStyle name="Normal 2 4 5 3 2 7 2" xfId="13150" xr:uid="{807AC6D7-E6A3-4A9E-A907-71BDE85E6F78}"/>
    <cellStyle name="Normal 2 4 5 3 2 8" xfId="8932" xr:uid="{D0DCB433-BF34-4115-9DEE-8A26C09C08E9}"/>
    <cellStyle name="Normal 2 4 5 3 3" xfId="797" xr:uid="{00000000-0005-0000-0000-00009B100000}"/>
    <cellStyle name="Normal 2 4 5 3 3 2" xfId="3036" xr:uid="{00000000-0005-0000-0000-00009C100000}"/>
    <cellStyle name="Normal 2 4 5 3 3 2 2" xfId="7258" xr:uid="{00000000-0005-0000-0000-00009D100000}"/>
    <cellStyle name="Normal 2 4 5 3 3 2 2 2" xfId="15708" xr:uid="{34BDBEE4-0A16-4F16-AC8C-99550DFCA18F}"/>
    <cellStyle name="Normal 2 4 5 3 3 2 3" xfId="11490" xr:uid="{D941EE94-18A3-4F5A-ABE9-79382D1EC059}"/>
    <cellStyle name="Normal 2 4 5 3 3 3" xfId="5113" xr:uid="{00000000-0005-0000-0000-00009E100000}"/>
    <cellStyle name="Normal 2 4 5 3 3 3 2" xfId="13563" xr:uid="{8CF0A240-FE5A-4082-910F-77CD57C7269C}"/>
    <cellStyle name="Normal 2 4 5 3 3 4" xfId="9345" xr:uid="{9D9F86EF-4C3E-4BE5-B559-BD95FCD5D1B2}"/>
    <cellStyle name="Normal 2 4 5 3 4" xfId="1219" xr:uid="{00000000-0005-0000-0000-00009F100000}"/>
    <cellStyle name="Normal 2 4 5 3 4 2" xfId="3449" xr:uid="{00000000-0005-0000-0000-0000A0100000}"/>
    <cellStyle name="Normal 2 4 5 3 4 2 2" xfId="7671" xr:uid="{00000000-0005-0000-0000-0000A1100000}"/>
    <cellStyle name="Normal 2 4 5 3 4 2 2 2" xfId="16121" xr:uid="{A9BC5C6F-114D-4E96-B496-FB3D83C183C8}"/>
    <cellStyle name="Normal 2 4 5 3 4 2 3" xfId="11903" xr:uid="{2A03A9E2-27A1-464F-B5B0-C1DA7B8D9B4A}"/>
    <cellStyle name="Normal 2 4 5 3 4 3" xfId="5526" xr:uid="{00000000-0005-0000-0000-0000A2100000}"/>
    <cellStyle name="Normal 2 4 5 3 4 3 2" xfId="13976" xr:uid="{16970E22-C920-424F-ADC2-21956B97A5CB}"/>
    <cellStyle name="Normal 2 4 5 3 4 4" xfId="9758" xr:uid="{BB6765FD-3452-4D6B-81C6-E7F973946D9F}"/>
    <cellStyle name="Normal 2 4 5 3 5" xfId="1632" xr:uid="{00000000-0005-0000-0000-0000A3100000}"/>
    <cellStyle name="Normal 2 4 5 3 5 2" xfId="3862" xr:uid="{00000000-0005-0000-0000-0000A4100000}"/>
    <cellStyle name="Normal 2 4 5 3 5 2 2" xfId="8084" xr:uid="{00000000-0005-0000-0000-0000A5100000}"/>
    <cellStyle name="Normal 2 4 5 3 5 2 2 2" xfId="16534" xr:uid="{F09A36DE-13C0-4D22-9C6D-7D453E1CC429}"/>
    <cellStyle name="Normal 2 4 5 3 5 2 3" xfId="12316" xr:uid="{58764E63-D051-4D5E-982E-DD7AA355DB09}"/>
    <cellStyle name="Normal 2 4 5 3 5 3" xfId="5939" xr:uid="{00000000-0005-0000-0000-0000A6100000}"/>
    <cellStyle name="Normal 2 4 5 3 5 3 2" xfId="14389" xr:uid="{A34813EA-E347-4781-BD6B-A9F2D4D732AA}"/>
    <cellStyle name="Normal 2 4 5 3 5 4" xfId="10171" xr:uid="{E5A8F11D-FB5A-4A93-A98D-352936E680B2}"/>
    <cellStyle name="Normal 2 4 5 3 6" xfId="2046" xr:uid="{00000000-0005-0000-0000-0000A7100000}"/>
    <cellStyle name="Normal 2 4 5 3 6 2" xfId="4275" xr:uid="{00000000-0005-0000-0000-0000A8100000}"/>
    <cellStyle name="Normal 2 4 5 3 6 2 2" xfId="8497" xr:uid="{00000000-0005-0000-0000-0000A9100000}"/>
    <cellStyle name="Normal 2 4 5 3 6 2 2 2" xfId="16947" xr:uid="{8B3630E2-6038-419D-BE42-451A819F3234}"/>
    <cellStyle name="Normal 2 4 5 3 6 2 3" xfId="12729" xr:uid="{7777D449-A922-4431-AA9F-E0E2F37E48A7}"/>
    <cellStyle name="Normal 2 4 5 3 6 3" xfId="6352" xr:uid="{00000000-0005-0000-0000-0000AA100000}"/>
    <cellStyle name="Normal 2 4 5 3 6 3 2" xfId="14802" xr:uid="{95042697-0D6B-4923-86B7-247B8CF3E3B2}"/>
    <cellStyle name="Normal 2 4 5 3 6 4" xfId="10584" xr:uid="{230CFFE8-E2C7-4EEF-8DB2-29D4E627BC59}"/>
    <cellStyle name="Normal 2 4 5 3 7" xfId="2482" xr:uid="{00000000-0005-0000-0000-0000AB100000}"/>
    <cellStyle name="Normal 2 4 5 3 7 2" xfId="6765" xr:uid="{00000000-0005-0000-0000-0000AC100000}"/>
    <cellStyle name="Normal 2 4 5 3 7 2 2" xfId="15215" xr:uid="{CF66AF52-B697-4BAA-9018-01BD5C465620}"/>
    <cellStyle name="Normal 2 4 5 3 7 3" xfId="10997" xr:uid="{137BD05E-0269-4A1E-9F79-C446A3C39C8B}"/>
    <cellStyle name="Normal 2 4 5 3 8" xfId="4699" xr:uid="{00000000-0005-0000-0000-0000AD100000}"/>
    <cellStyle name="Normal 2 4 5 3 8 2" xfId="13149" xr:uid="{B619D9EC-3586-42B3-A39D-70AEF1189EE2}"/>
    <cellStyle name="Normal 2 4 5 3 9" xfId="8931" xr:uid="{16A835D9-2220-4B1B-A849-AB54D34E9C6C}"/>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2 2 2" xfId="15710" xr:uid="{24B8A2ED-6B40-4A32-95E5-65A02CEF9C0F}"/>
    <cellStyle name="Normal 2 4 5 4 2 2 3" xfId="11492" xr:uid="{85F17BAB-85A6-4BCE-BC0A-686C2966BBF2}"/>
    <cellStyle name="Normal 2 4 5 4 2 3" xfId="5115" xr:uid="{00000000-0005-0000-0000-0000B2100000}"/>
    <cellStyle name="Normal 2 4 5 4 2 3 2" xfId="13565" xr:uid="{89187BAD-A1B7-4A37-B497-FD1D643088F9}"/>
    <cellStyle name="Normal 2 4 5 4 2 4" xfId="9347" xr:uid="{E6F009D2-939E-440D-A2E0-73836294B166}"/>
    <cellStyle name="Normal 2 4 5 4 3" xfId="1221" xr:uid="{00000000-0005-0000-0000-0000B3100000}"/>
    <cellStyle name="Normal 2 4 5 4 3 2" xfId="3451" xr:uid="{00000000-0005-0000-0000-0000B4100000}"/>
    <cellStyle name="Normal 2 4 5 4 3 2 2" xfId="7673" xr:uid="{00000000-0005-0000-0000-0000B5100000}"/>
    <cellStyle name="Normal 2 4 5 4 3 2 2 2" xfId="16123" xr:uid="{5BB25B64-3000-4271-9523-1E9BE0CEB545}"/>
    <cellStyle name="Normal 2 4 5 4 3 2 3" xfId="11905" xr:uid="{CEA5DFE8-6A68-4965-AD50-776286D33B70}"/>
    <cellStyle name="Normal 2 4 5 4 3 3" xfId="5528" xr:uid="{00000000-0005-0000-0000-0000B6100000}"/>
    <cellStyle name="Normal 2 4 5 4 3 3 2" xfId="13978" xr:uid="{AD9AD873-80B4-489B-993C-EB4DD128FFD7}"/>
    <cellStyle name="Normal 2 4 5 4 3 4" xfId="9760" xr:uid="{5A03BE6D-E09B-4523-9A28-B9F32EDFC66F}"/>
    <cellStyle name="Normal 2 4 5 4 4" xfId="1634" xr:uid="{00000000-0005-0000-0000-0000B7100000}"/>
    <cellStyle name="Normal 2 4 5 4 4 2" xfId="3864" xr:uid="{00000000-0005-0000-0000-0000B8100000}"/>
    <cellStyle name="Normal 2 4 5 4 4 2 2" xfId="8086" xr:uid="{00000000-0005-0000-0000-0000B9100000}"/>
    <cellStyle name="Normal 2 4 5 4 4 2 2 2" xfId="16536" xr:uid="{C97AC9C2-8C01-4F89-97AE-B2D869992789}"/>
    <cellStyle name="Normal 2 4 5 4 4 2 3" xfId="12318" xr:uid="{47BF12A9-057C-4B07-B600-96B8899687F1}"/>
    <cellStyle name="Normal 2 4 5 4 4 3" xfId="5941" xr:uid="{00000000-0005-0000-0000-0000BA100000}"/>
    <cellStyle name="Normal 2 4 5 4 4 3 2" xfId="14391" xr:uid="{8F450C0D-1B47-4C0D-8710-91E44F84D6FE}"/>
    <cellStyle name="Normal 2 4 5 4 4 4" xfId="10173" xr:uid="{F6DAA560-02E4-4EED-AB25-65B073DB85B3}"/>
    <cellStyle name="Normal 2 4 5 4 5" xfId="2048" xr:uid="{00000000-0005-0000-0000-0000BB100000}"/>
    <cellStyle name="Normal 2 4 5 4 5 2" xfId="4277" xr:uid="{00000000-0005-0000-0000-0000BC100000}"/>
    <cellStyle name="Normal 2 4 5 4 5 2 2" xfId="8499" xr:uid="{00000000-0005-0000-0000-0000BD100000}"/>
    <cellStyle name="Normal 2 4 5 4 5 2 2 2" xfId="16949" xr:uid="{066C031C-187E-4248-AD41-4A1254B5F188}"/>
    <cellStyle name="Normal 2 4 5 4 5 2 3" xfId="12731" xr:uid="{28A50DC8-1E1F-482E-86F3-0F139693401E}"/>
    <cellStyle name="Normal 2 4 5 4 5 3" xfId="6354" xr:uid="{00000000-0005-0000-0000-0000BE100000}"/>
    <cellStyle name="Normal 2 4 5 4 5 3 2" xfId="14804" xr:uid="{49B4A7F2-FE9A-4A7A-99CA-DFC2267DCDCE}"/>
    <cellStyle name="Normal 2 4 5 4 5 4" xfId="10586" xr:uid="{3AF07DB5-6222-4AB7-9748-496F8165F40F}"/>
    <cellStyle name="Normal 2 4 5 4 6" xfId="2484" xr:uid="{00000000-0005-0000-0000-0000BF100000}"/>
    <cellStyle name="Normal 2 4 5 4 6 2" xfId="6767" xr:uid="{00000000-0005-0000-0000-0000C0100000}"/>
    <cellStyle name="Normal 2 4 5 4 6 2 2" xfId="15217" xr:uid="{0754C7E2-3BFD-4864-8305-65202CB5B769}"/>
    <cellStyle name="Normal 2 4 5 4 6 3" xfId="10999" xr:uid="{D5AA8A28-2D8C-4BEF-AE22-913073EBDD90}"/>
    <cellStyle name="Normal 2 4 5 4 7" xfId="4701" xr:uid="{00000000-0005-0000-0000-0000C1100000}"/>
    <cellStyle name="Normal 2 4 5 4 7 2" xfId="13151" xr:uid="{68CE3E4C-79DC-4882-9A6C-B375CCBEEFF3}"/>
    <cellStyle name="Normal 2 4 5 4 8" xfId="8933" xr:uid="{D6681026-2105-4350-A5AE-4EBB29F66C7A}"/>
    <cellStyle name="Normal 2 4 5 5" xfId="792" xr:uid="{00000000-0005-0000-0000-0000C2100000}"/>
    <cellStyle name="Normal 2 4 5 5 2" xfId="3031" xr:uid="{00000000-0005-0000-0000-0000C3100000}"/>
    <cellStyle name="Normal 2 4 5 5 2 2" xfId="7253" xr:uid="{00000000-0005-0000-0000-0000C4100000}"/>
    <cellStyle name="Normal 2 4 5 5 2 2 2" xfId="15703" xr:uid="{D0FFD5F6-5AAA-41DB-BDD1-79CF0A61C6B7}"/>
    <cellStyle name="Normal 2 4 5 5 2 3" xfId="11485" xr:uid="{BB67C229-A71A-40A9-9860-29ED5B35E71A}"/>
    <cellStyle name="Normal 2 4 5 5 3" xfId="5108" xr:uid="{00000000-0005-0000-0000-0000C5100000}"/>
    <cellStyle name="Normal 2 4 5 5 3 2" xfId="13558" xr:uid="{4E6DD128-F7FD-48C2-BD89-9AA095E2C15D}"/>
    <cellStyle name="Normal 2 4 5 5 4" xfId="9340" xr:uid="{3117D682-48C3-4908-8EDB-6AFAB8101DE4}"/>
    <cellStyle name="Normal 2 4 5 6" xfId="1214" xr:uid="{00000000-0005-0000-0000-0000C6100000}"/>
    <cellStyle name="Normal 2 4 5 6 2" xfId="3444" xr:uid="{00000000-0005-0000-0000-0000C7100000}"/>
    <cellStyle name="Normal 2 4 5 6 2 2" xfId="7666" xr:uid="{00000000-0005-0000-0000-0000C8100000}"/>
    <cellStyle name="Normal 2 4 5 6 2 2 2" xfId="16116" xr:uid="{8C89B6CF-8DE8-46FF-93CE-C3C3536CA81D}"/>
    <cellStyle name="Normal 2 4 5 6 2 3" xfId="11898" xr:uid="{7817C844-5305-4313-B148-F1B69CE2A187}"/>
    <cellStyle name="Normal 2 4 5 6 3" xfId="5521" xr:uid="{00000000-0005-0000-0000-0000C9100000}"/>
    <cellStyle name="Normal 2 4 5 6 3 2" xfId="13971" xr:uid="{A0E8808E-62AB-41F9-B35F-851E37AC581D}"/>
    <cellStyle name="Normal 2 4 5 6 4" xfId="9753" xr:uid="{F4DFA0E5-40FA-4F49-B81E-C0104F4BBC93}"/>
    <cellStyle name="Normal 2 4 5 7" xfId="1627" xr:uid="{00000000-0005-0000-0000-0000CA100000}"/>
    <cellStyle name="Normal 2 4 5 7 2" xfId="3857" xr:uid="{00000000-0005-0000-0000-0000CB100000}"/>
    <cellStyle name="Normal 2 4 5 7 2 2" xfId="8079" xr:uid="{00000000-0005-0000-0000-0000CC100000}"/>
    <cellStyle name="Normal 2 4 5 7 2 2 2" xfId="16529" xr:uid="{0B0BA93C-EBF4-4DEE-BBF3-F84C863E69E9}"/>
    <cellStyle name="Normal 2 4 5 7 2 3" xfId="12311" xr:uid="{7C57051D-F5D9-4E42-8B7D-18F6BB2B8F37}"/>
    <cellStyle name="Normal 2 4 5 7 3" xfId="5934" xr:uid="{00000000-0005-0000-0000-0000CD100000}"/>
    <cellStyle name="Normal 2 4 5 7 3 2" xfId="14384" xr:uid="{87C7401F-1372-4B08-AB1B-C6A044ACDBE9}"/>
    <cellStyle name="Normal 2 4 5 7 4" xfId="10166" xr:uid="{EF817FC1-BF1E-4464-A4B2-C7B17ED6534B}"/>
    <cellStyle name="Normal 2 4 5 8" xfId="2041" xr:uid="{00000000-0005-0000-0000-0000CE100000}"/>
    <cellStyle name="Normal 2 4 5 8 2" xfId="4270" xr:uid="{00000000-0005-0000-0000-0000CF100000}"/>
    <cellStyle name="Normal 2 4 5 8 2 2" xfId="8492" xr:uid="{00000000-0005-0000-0000-0000D0100000}"/>
    <cellStyle name="Normal 2 4 5 8 2 2 2" xfId="16942" xr:uid="{DB260249-A4E5-4FD0-A46F-E16E2A7D3C70}"/>
    <cellStyle name="Normal 2 4 5 8 2 3" xfId="12724" xr:uid="{53C5A8DF-BD73-423F-BB93-5770357078C4}"/>
    <cellStyle name="Normal 2 4 5 8 3" xfId="6347" xr:uid="{00000000-0005-0000-0000-0000D1100000}"/>
    <cellStyle name="Normal 2 4 5 8 3 2" xfId="14797" xr:uid="{BAF5975C-56E4-4DD3-9915-EA15F19DAC7E}"/>
    <cellStyle name="Normal 2 4 5 8 4" xfId="10579" xr:uid="{6FB7C623-95F5-45DC-989B-F1E1EE304F83}"/>
    <cellStyle name="Normal 2 4 5 9" xfId="2477" xr:uid="{00000000-0005-0000-0000-0000D2100000}"/>
    <cellStyle name="Normal 2 4 5 9 2" xfId="6760" xr:uid="{00000000-0005-0000-0000-0000D3100000}"/>
    <cellStyle name="Normal 2 4 5 9 2 2" xfId="15210" xr:uid="{80A547E6-E2B6-44F2-B18D-A5CE68A7D950}"/>
    <cellStyle name="Normal 2 4 5 9 3" xfId="10992" xr:uid="{6DBA0A16-BD6C-4B57-B3B4-F77D80759DCE}"/>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2 2 2" xfId="15712" xr:uid="{55704623-7FA3-4CF5-BF02-F3D37BB9BA1E}"/>
    <cellStyle name="Normal 2 4 7 2 2 2 3" xfId="11494" xr:uid="{04C17AD7-805E-43C3-B671-C05A54011016}"/>
    <cellStyle name="Normal 2 4 7 2 2 3" xfId="5117" xr:uid="{00000000-0005-0000-0000-0000DA100000}"/>
    <cellStyle name="Normal 2 4 7 2 2 3 2" xfId="13567" xr:uid="{6DC63E9D-E66C-4AC1-882D-13B7CCFF6996}"/>
    <cellStyle name="Normal 2 4 7 2 2 4" xfId="9349" xr:uid="{E3D57008-4DA4-4996-A145-4A4028DFF390}"/>
    <cellStyle name="Normal 2 4 7 2 3" xfId="1223" xr:uid="{00000000-0005-0000-0000-0000DB100000}"/>
    <cellStyle name="Normal 2 4 7 2 3 2" xfId="3453" xr:uid="{00000000-0005-0000-0000-0000DC100000}"/>
    <cellStyle name="Normal 2 4 7 2 3 2 2" xfId="7675" xr:uid="{00000000-0005-0000-0000-0000DD100000}"/>
    <cellStyle name="Normal 2 4 7 2 3 2 2 2" xfId="16125" xr:uid="{D04C3C30-B52A-4243-8AB7-7C2D2B1C9B33}"/>
    <cellStyle name="Normal 2 4 7 2 3 2 3" xfId="11907" xr:uid="{8D76D8E1-C171-4AC5-9823-49364B09A1F1}"/>
    <cellStyle name="Normal 2 4 7 2 3 3" xfId="5530" xr:uid="{00000000-0005-0000-0000-0000DE100000}"/>
    <cellStyle name="Normal 2 4 7 2 3 3 2" xfId="13980" xr:uid="{AE169B3A-6979-42FA-B27F-E6530C5F37BA}"/>
    <cellStyle name="Normal 2 4 7 2 3 4" xfId="9762" xr:uid="{62CA63CE-FF4D-4276-8DF9-26B089E35F75}"/>
    <cellStyle name="Normal 2 4 7 2 4" xfId="1636" xr:uid="{00000000-0005-0000-0000-0000DF100000}"/>
    <cellStyle name="Normal 2 4 7 2 4 2" xfId="3866" xr:uid="{00000000-0005-0000-0000-0000E0100000}"/>
    <cellStyle name="Normal 2 4 7 2 4 2 2" xfId="8088" xr:uid="{00000000-0005-0000-0000-0000E1100000}"/>
    <cellStyle name="Normal 2 4 7 2 4 2 2 2" xfId="16538" xr:uid="{B853F7AB-04FC-4919-859D-D91B0D74110C}"/>
    <cellStyle name="Normal 2 4 7 2 4 2 3" xfId="12320" xr:uid="{CD8E2651-C2DE-42B5-A2C6-81A2DC117E16}"/>
    <cellStyle name="Normal 2 4 7 2 4 3" xfId="5943" xr:uid="{00000000-0005-0000-0000-0000E2100000}"/>
    <cellStyle name="Normal 2 4 7 2 4 3 2" xfId="14393" xr:uid="{EB5A4A11-A1F2-49B5-999D-73F9BCDA2B91}"/>
    <cellStyle name="Normal 2 4 7 2 4 4" xfId="10175" xr:uid="{1C2DA49A-A73C-4289-BCDC-5037F492C78E}"/>
    <cellStyle name="Normal 2 4 7 2 5" xfId="2050" xr:uid="{00000000-0005-0000-0000-0000E3100000}"/>
    <cellStyle name="Normal 2 4 7 2 5 2" xfId="4279" xr:uid="{00000000-0005-0000-0000-0000E4100000}"/>
    <cellStyle name="Normal 2 4 7 2 5 2 2" xfId="8501" xr:uid="{00000000-0005-0000-0000-0000E5100000}"/>
    <cellStyle name="Normal 2 4 7 2 5 2 2 2" xfId="16951" xr:uid="{26C2C7BD-D717-472C-83FE-D9A43ED439FB}"/>
    <cellStyle name="Normal 2 4 7 2 5 2 3" xfId="12733" xr:uid="{A192F10C-34D5-4F45-BCF1-6B558AF603A8}"/>
    <cellStyle name="Normal 2 4 7 2 5 3" xfId="6356" xr:uid="{00000000-0005-0000-0000-0000E6100000}"/>
    <cellStyle name="Normal 2 4 7 2 5 3 2" xfId="14806" xr:uid="{668A8C35-9F56-4F7E-B40D-29235EFDFC04}"/>
    <cellStyle name="Normal 2 4 7 2 5 4" xfId="10588" xr:uid="{193E496A-34EC-4914-BE85-6D50A0D7017E}"/>
    <cellStyle name="Normal 2 4 7 2 6" xfId="2486" xr:uid="{00000000-0005-0000-0000-0000E7100000}"/>
    <cellStyle name="Normal 2 4 7 2 6 2" xfId="6769" xr:uid="{00000000-0005-0000-0000-0000E8100000}"/>
    <cellStyle name="Normal 2 4 7 2 6 2 2" xfId="15219" xr:uid="{31088134-7B1D-4430-BFAE-1AF64B848B0C}"/>
    <cellStyle name="Normal 2 4 7 2 6 3" xfId="11001" xr:uid="{B6A1109E-BA65-4D99-8B73-AB0319AE80B4}"/>
    <cellStyle name="Normal 2 4 7 2 7" xfId="4703" xr:uid="{00000000-0005-0000-0000-0000E9100000}"/>
    <cellStyle name="Normal 2 4 7 2 7 2" xfId="13153" xr:uid="{E3467788-57F3-4549-A4A3-7D1C7F546AE1}"/>
    <cellStyle name="Normal 2 4 7 2 8" xfId="8935" xr:uid="{4EE5FC88-3CE2-4708-A722-D36236720542}"/>
    <cellStyle name="Normal 2 4 7 3" xfId="800" xr:uid="{00000000-0005-0000-0000-0000EA100000}"/>
    <cellStyle name="Normal 2 4 7 3 2" xfId="3039" xr:uid="{00000000-0005-0000-0000-0000EB100000}"/>
    <cellStyle name="Normal 2 4 7 3 2 2" xfId="7261" xr:uid="{00000000-0005-0000-0000-0000EC100000}"/>
    <cellStyle name="Normal 2 4 7 3 2 2 2" xfId="15711" xr:uid="{ABF29877-8878-44D9-934C-80F4EC55BEB1}"/>
    <cellStyle name="Normal 2 4 7 3 2 3" xfId="11493" xr:uid="{2F5C8A87-A81F-46C8-89F2-202DAEA791FA}"/>
    <cellStyle name="Normal 2 4 7 3 3" xfId="5116" xr:uid="{00000000-0005-0000-0000-0000ED100000}"/>
    <cellStyle name="Normal 2 4 7 3 3 2" xfId="13566" xr:uid="{25EB5ABA-665C-4197-BE58-2CB937FA59B8}"/>
    <cellStyle name="Normal 2 4 7 3 4" xfId="9348" xr:uid="{E5D17832-A0EE-415D-9639-95192E85FC39}"/>
    <cellStyle name="Normal 2 4 7 4" xfId="1222" xr:uid="{00000000-0005-0000-0000-0000EE100000}"/>
    <cellStyle name="Normal 2 4 7 4 2" xfId="3452" xr:uid="{00000000-0005-0000-0000-0000EF100000}"/>
    <cellStyle name="Normal 2 4 7 4 2 2" xfId="7674" xr:uid="{00000000-0005-0000-0000-0000F0100000}"/>
    <cellStyle name="Normal 2 4 7 4 2 2 2" xfId="16124" xr:uid="{84DA72FA-BE45-4B07-A9DC-7B3A7D28B7DC}"/>
    <cellStyle name="Normal 2 4 7 4 2 3" xfId="11906" xr:uid="{B898020A-45DB-4EE8-9CC2-FDFC82E577DB}"/>
    <cellStyle name="Normal 2 4 7 4 3" xfId="5529" xr:uid="{00000000-0005-0000-0000-0000F1100000}"/>
    <cellStyle name="Normal 2 4 7 4 3 2" xfId="13979" xr:uid="{42C872E8-A0C0-42B0-812C-C38DE00DAD6B}"/>
    <cellStyle name="Normal 2 4 7 4 4" xfId="9761" xr:uid="{252235EF-DCD4-429E-9A91-3DB4D22F8540}"/>
    <cellStyle name="Normal 2 4 7 5" xfId="1635" xr:uid="{00000000-0005-0000-0000-0000F2100000}"/>
    <cellStyle name="Normal 2 4 7 5 2" xfId="3865" xr:uid="{00000000-0005-0000-0000-0000F3100000}"/>
    <cellStyle name="Normal 2 4 7 5 2 2" xfId="8087" xr:uid="{00000000-0005-0000-0000-0000F4100000}"/>
    <cellStyle name="Normal 2 4 7 5 2 2 2" xfId="16537" xr:uid="{FE5EB44F-F99A-4B18-A0AB-127BAB2E0828}"/>
    <cellStyle name="Normal 2 4 7 5 2 3" xfId="12319" xr:uid="{212EEBEC-57F0-4DAC-8269-1491ABD4D992}"/>
    <cellStyle name="Normal 2 4 7 5 3" xfId="5942" xr:uid="{00000000-0005-0000-0000-0000F5100000}"/>
    <cellStyle name="Normal 2 4 7 5 3 2" xfId="14392" xr:uid="{27C05D50-13E2-48D0-9728-3258E35BFA98}"/>
    <cellStyle name="Normal 2 4 7 5 4" xfId="10174" xr:uid="{BCE15C9E-4ECE-41EE-9A1B-F6C64D7E9CC7}"/>
    <cellStyle name="Normal 2 4 7 6" xfId="2049" xr:uid="{00000000-0005-0000-0000-0000F6100000}"/>
    <cellStyle name="Normal 2 4 7 6 2" xfId="4278" xr:uid="{00000000-0005-0000-0000-0000F7100000}"/>
    <cellStyle name="Normal 2 4 7 6 2 2" xfId="8500" xr:uid="{00000000-0005-0000-0000-0000F8100000}"/>
    <cellStyle name="Normal 2 4 7 6 2 2 2" xfId="16950" xr:uid="{FB340A69-5E27-4D78-967B-C96320B715E8}"/>
    <cellStyle name="Normal 2 4 7 6 2 3" xfId="12732" xr:uid="{0E453AE4-2C37-40F0-825D-C8E072B6E535}"/>
    <cellStyle name="Normal 2 4 7 6 3" xfId="6355" xr:uid="{00000000-0005-0000-0000-0000F9100000}"/>
    <cellStyle name="Normal 2 4 7 6 3 2" xfId="14805" xr:uid="{392A2B6B-7750-46AA-ABD6-A30AA4C77A0C}"/>
    <cellStyle name="Normal 2 4 7 6 4" xfId="10587" xr:uid="{277C2209-9EC9-42D4-B45F-4ABE76ED6F6B}"/>
    <cellStyle name="Normal 2 4 7 7" xfId="2485" xr:uid="{00000000-0005-0000-0000-0000FA100000}"/>
    <cellStyle name="Normal 2 4 7 7 2" xfId="6768" xr:uid="{00000000-0005-0000-0000-0000FB100000}"/>
    <cellStyle name="Normal 2 4 7 7 2 2" xfId="15218" xr:uid="{4FBEADDD-D08A-4A1E-9EE7-DFB9516AEA54}"/>
    <cellStyle name="Normal 2 4 7 7 3" xfId="11000" xr:uid="{492A36E1-6FAD-4757-96C6-DDC36C04065B}"/>
    <cellStyle name="Normal 2 4 7 8" xfId="4702" xr:uid="{00000000-0005-0000-0000-0000FC100000}"/>
    <cellStyle name="Normal 2 4 7 8 2" xfId="13152" xr:uid="{B7ED069F-88A0-4E5A-B6B0-09DE90DF3AD2}"/>
    <cellStyle name="Normal 2 4 7 9" xfId="8934" xr:uid="{D9BB5C5F-E5B4-4E10-845E-9936B93C776A}"/>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2 2 2" xfId="15713" xr:uid="{448C1515-54AC-42D9-879F-758A782B7806}"/>
    <cellStyle name="Normal 2 4 8 2 2 3" xfId="11495" xr:uid="{40F51A81-DA2B-47AB-B48F-18F5B88AB78A}"/>
    <cellStyle name="Normal 2 4 8 2 3" xfId="5118" xr:uid="{00000000-0005-0000-0000-000001110000}"/>
    <cellStyle name="Normal 2 4 8 2 3 2" xfId="13568" xr:uid="{C5553477-F981-4432-9263-873C743F9858}"/>
    <cellStyle name="Normal 2 4 8 2 4" xfId="9350" xr:uid="{8CF431DD-A4E8-414C-8085-C4F79B8743A0}"/>
    <cellStyle name="Normal 2 4 8 3" xfId="1224" xr:uid="{00000000-0005-0000-0000-000002110000}"/>
    <cellStyle name="Normal 2 4 8 3 2" xfId="3454" xr:uid="{00000000-0005-0000-0000-000003110000}"/>
    <cellStyle name="Normal 2 4 8 3 2 2" xfId="7676" xr:uid="{00000000-0005-0000-0000-000004110000}"/>
    <cellStyle name="Normal 2 4 8 3 2 2 2" xfId="16126" xr:uid="{15E712AF-9D9C-4010-B586-253CD55CFB5C}"/>
    <cellStyle name="Normal 2 4 8 3 2 3" xfId="11908" xr:uid="{77C69190-BD46-4C26-A33A-EB5F35557B7D}"/>
    <cellStyle name="Normal 2 4 8 3 3" xfId="5531" xr:uid="{00000000-0005-0000-0000-000005110000}"/>
    <cellStyle name="Normal 2 4 8 3 3 2" xfId="13981" xr:uid="{FBE26E05-2CF8-41EB-A1CE-6D8F0E412995}"/>
    <cellStyle name="Normal 2 4 8 3 4" xfId="9763" xr:uid="{F4A44C76-0FB9-4F63-ACB9-6638FA71E70D}"/>
    <cellStyle name="Normal 2 4 8 4" xfId="1637" xr:uid="{00000000-0005-0000-0000-000006110000}"/>
    <cellStyle name="Normal 2 4 8 4 2" xfId="3867" xr:uid="{00000000-0005-0000-0000-000007110000}"/>
    <cellStyle name="Normal 2 4 8 4 2 2" xfId="8089" xr:uid="{00000000-0005-0000-0000-000008110000}"/>
    <cellStyle name="Normal 2 4 8 4 2 2 2" xfId="16539" xr:uid="{37522D23-31A8-494C-91F5-A6647CADF4FF}"/>
    <cellStyle name="Normal 2 4 8 4 2 3" xfId="12321" xr:uid="{C0AC4F10-4DBE-4960-ADF3-52FBBEB5584F}"/>
    <cellStyle name="Normal 2 4 8 4 3" xfId="5944" xr:uid="{00000000-0005-0000-0000-000009110000}"/>
    <cellStyle name="Normal 2 4 8 4 3 2" xfId="14394" xr:uid="{E84D6BE3-E8B0-46EF-B232-4D61715764A1}"/>
    <cellStyle name="Normal 2 4 8 4 4" xfId="10176" xr:uid="{49C626F1-B971-4216-BD59-F0D568A6AF6F}"/>
    <cellStyle name="Normal 2 4 8 5" xfId="2051" xr:uid="{00000000-0005-0000-0000-00000A110000}"/>
    <cellStyle name="Normal 2 4 8 5 2" xfId="4280" xr:uid="{00000000-0005-0000-0000-00000B110000}"/>
    <cellStyle name="Normal 2 4 8 5 2 2" xfId="8502" xr:uid="{00000000-0005-0000-0000-00000C110000}"/>
    <cellStyle name="Normal 2 4 8 5 2 2 2" xfId="16952" xr:uid="{6DD6B123-CE4B-4AE8-86CC-F8486AA4F0AB}"/>
    <cellStyle name="Normal 2 4 8 5 2 3" xfId="12734" xr:uid="{91241D65-724D-4356-9A91-1282A7AC3162}"/>
    <cellStyle name="Normal 2 4 8 5 3" xfId="6357" xr:uid="{00000000-0005-0000-0000-00000D110000}"/>
    <cellStyle name="Normal 2 4 8 5 3 2" xfId="14807" xr:uid="{C9EE7946-0600-41C2-BBDD-C267216BF0C7}"/>
    <cellStyle name="Normal 2 4 8 5 4" xfId="10589" xr:uid="{714AA154-B614-445B-91C8-A43B90A1589C}"/>
    <cellStyle name="Normal 2 4 8 6" xfId="2487" xr:uid="{00000000-0005-0000-0000-00000E110000}"/>
    <cellStyle name="Normal 2 4 8 6 2" xfId="6770" xr:uid="{00000000-0005-0000-0000-00000F110000}"/>
    <cellStyle name="Normal 2 4 8 6 2 2" xfId="15220" xr:uid="{B2C119E6-4DA3-45E0-8B94-071C4C558717}"/>
    <cellStyle name="Normal 2 4 8 6 3" xfId="11002" xr:uid="{291674A9-6E8C-42A9-8AC7-B629C43760D2}"/>
    <cellStyle name="Normal 2 4 8 7" xfId="4704" xr:uid="{00000000-0005-0000-0000-000010110000}"/>
    <cellStyle name="Normal 2 4 8 7 2" xfId="13154" xr:uid="{A1C1D012-9C01-4316-A223-3B92CE0E6A9A}"/>
    <cellStyle name="Normal 2 4 8 8" xfId="8936" xr:uid="{2578D2E7-3DAE-4298-82A3-040C94AA7631}"/>
    <cellStyle name="Normal 2 5" xfId="315" xr:uid="{00000000-0005-0000-0000-000011110000}"/>
    <cellStyle name="Normal 2 5 10" xfId="4705" xr:uid="{00000000-0005-0000-0000-000012110000}"/>
    <cellStyle name="Normal 2 5 10 2" xfId="13155" xr:uid="{15D4CAB6-5ECC-453F-89EF-99D8DA253ACE}"/>
    <cellStyle name="Normal 2 5 11" xfId="8937" xr:uid="{0C6D543A-E966-42C7-9B5F-2DCE6E8D9E30}"/>
    <cellStyle name="Normal 2 5 2" xfId="316" xr:uid="{00000000-0005-0000-0000-000013110000}"/>
    <cellStyle name="Normal 2 5 3" xfId="317" xr:uid="{00000000-0005-0000-0000-000014110000}"/>
    <cellStyle name="Normal 2 5 4" xfId="318" xr:uid="{00000000-0005-0000-0000-000015110000}"/>
    <cellStyle name="Normal 2 5 4 10" xfId="8938" xr:uid="{4355D582-618B-4024-A1CB-4E3A212E90C2}"/>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2 2 2" xfId="15717" xr:uid="{1BF4E7D7-848D-4CBB-9CE3-F74F60449562}"/>
    <cellStyle name="Normal 2 5 4 2 2 2 2 3" xfId="11499" xr:uid="{846C6724-28EB-4DB9-906F-1053B5260D1F}"/>
    <cellStyle name="Normal 2 5 4 2 2 2 3" xfId="5122" xr:uid="{00000000-0005-0000-0000-00001B110000}"/>
    <cellStyle name="Normal 2 5 4 2 2 2 3 2" xfId="13572" xr:uid="{8B23F1D5-E6D3-48B0-9094-DDE45F38F15C}"/>
    <cellStyle name="Normal 2 5 4 2 2 2 4" xfId="9354" xr:uid="{A0B07F25-C768-4FEA-BE82-709F2BFCCC04}"/>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2 2 2" xfId="16130" xr:uid="{3358C0E9-E310-40E8-837E-6081A5BBA045}"/>
    <cellStyle name="Normal 2 5 4 2 2 3 2 3" xfId="11912" xr:uid="{5B82F4A4-6C4A-4426-80E3-C950443D5F1F}"/>
    <cellStyle name="Normal 2 5 4 2 2 3 3" xfId="5535" xr:uid="{00000000-0005-0000-0000-00001F110000}"/>
    <cellStyle name="Normal 2 5 4 2 2 3 3 2" xfId="13985" xr:uid="{717B3947-AEB9-48BE-9BB2-6C8511163E47}"/>
    <cellStyle name="Normal 2 5 4 2 2 3 4" xfId="9767" xr:uid="{D7DEEB96-07AC-4882-8FE4-2137D564C2F3}"/>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2 2 2" xfId="16543" xr:uid="{CC66F5A9-33A6-45D3-8604-B017EC8357A0}"/>
    <cellStyle name="Normal 2 5 4 2 2 4 2 3" xfId="12325" xr:uid="{9D15D195-F975-427D-8B52-283C4874403A}"/>
    <cellStyle name="Normal 2 5 4 2 2 4 3" xfId="5948" xr:uid="{00000000-0005-0000-0000-000023110000}"/>
    <cellStyle name="Normal 2 5 4 2 2 4 3 2" xfId="14398" xr:uid="{2AD5AE7B-843A-451B-AE3E-5DD9958E7283}"/>
    <cellStyle name="Normal 2 5 4 2 2 4 4" xfId="10180" xr:uid="{8E2DC885-2365-484E-993D-96C583D19151}"/>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2 2 2" xfId="16956" xr:uid="{9048FD79-0353-4390-A42F-A80732F7087E}"/>
    <cellStyle name="Normal 2 5 4 2 2 5 2 3" xfId="12738" xr:uid="{C0D64834-1C98-4F23-BCF5-8D4B29B39F72}"/>
    <cellStyle name="Normal 2 5 4 2 2 5 3" xfId="6361" xr:uid="{00000000-0005-0000-0000-000027110000}"/>
    <cellStyle name="Normal 2 5 4 2 2 5 3 2" xfId="14811" xr:uid="{6E8C3478-81EF-4199-BCE5-A67E63254744}"/>
    <cellStyle name="Normal 2 5 4 2 2 5 4" xfId="10593" xr:uid="{E4F9F971-73C2-4AD0-A864-2428577DB306}"/>
    <cellStyle name="Normal 2 5 4 2 2 6" xfId="2491" xr:uid="{00000000-0005-0000-0000-000028110000}"/>
    <cellStyle name="Normal 2 5 4 2 2 6 2" xfId="6774" xr:uid="{00000000-0005-0000-0000-000029110000}"/>
    <cellStyle name="Normal 2 5 4 2 2 6 2 2" xfId="15224" xr:uid="{EBA51243-8E7B-49C8-91E8-B10EDAC7FAB7}"/>
    <cellStyle name="Normal 2 5 4 2 2 6 3" xfId="11006" xr:uid="{5BFEB969-01A7-4135-B924-83BB43167DE0}"/>
    <cellStyle name="Normal 2 5 4 2 2 7" xfId="4708" xr:uid="{00000000-0005-0000-0000-00002A110000}"/>
    <cellStyle name="Normal 2 5 4 2 2 7 2" xfId="13158" xr:uid="{62D5D071-D27B-402C-8939-47AF3BCC2CD3}"/>
    <cellStyle name="Normal 2 5 4 2 2 8" xfId="8940" xr:uid="{53FCC507-C48E-4B20-9A36-26D84BACFA9D}"/>
    <cellStyle name="Normal 2 5 4 2 3" xfId="805" xr:uid="{00000000-0005-0000-0000-00002B110000}"/>
    <cellStyle name="Normal 2 5 4 2 3 2" xfId="3044" xr:uid="{00000000-0005-0000-0000-00002C110000}"/>
    <cellStyle name="Normal 2 5 4 2 3 2 2" xfId="7266" xr:uid="{00000000-0005-0000-0000-00002D110000}"/>
    <cellStyle name="Normal 2 5 4 2 3 2 2 2" xfId="15716" xr:uid="{3C93B395-502C-45D4-AEBD-1CE590C1FA82}"/>
    <cellStyle name="Normal 2 5 4 2 3 2 3" xfId="11498" xr:uid="{46FF653B-FD9F-4028-B843-E0056C80ABE0}"/>
    <cellStyle name="Normal 2 5 4 2 3 3" xfId="5121" xr:uid="{00000000-0005-0000-0000-00002E110000}"/>
    <cellStyle name="Normal 2 5 4 2 3 3 2" xfId="13571" xr:uid="{0424F0F7-1157-4A52-A762-F8C3380F037F}"/>
    <cellStyle name="Normal 2 5 4 2 3 4" xfId="9353" xr:uid="{B1F6AB5E-FCEB-45FE-8F67-11A61B49A260}"/>
    <cellStyle name="Normal 2 5 4 2 4" xfId="1227" xr:uid="{00000000-0005-0000-0000-00002F110000}"/>
    <cellStyle name="Normal 2 5 4 2 4 2" xfId="3457" xr:uid="{00000000-0005-0000-0000-000030110000}"/>
    <cellStyle name="Normal 2 5 4 2 4 2 2" xfId="7679" xr:uid="{00000000-0005-0000-0000-000031110000}"/>
    <cellStyle name="Normal 2 5 4 2 4 2 2 2" xfId="16129" xr:uid="{706B8483-025F-4CEF-B677-9CD5E6065667}"/>
    <cellStyle name="Normal 2 5 4 2 4 2 3" xfId="11911" xr:uid="{575EEDEF-6715-4150-BE6B-585CD71E6AB4}"/>
    <cellStyle name="Normal 2 5 4 2 4 3" xfId="5534" xr:uid="{00000000-0005-0000-0000-000032110000}"/>
    <cellStyle name="Normal 2 5 4 2 4 3 2" xfId="13984" xr:uid="{8A892023-1EE7-499B-B8F2-B312CECD4FD3}"/>
    <cellStyle name="Normal 2 5 4 2 4 4" xfId="9766" xr:uid="{4B6A6AB0-D725-415F-B79A-4CB6F42E2F5D}"/>
    <cellStyle name="Normal 2 5 4 2 5" xfId="1640" xr:uid="{00000000-0005-0000-0000-000033110000}"/>
    <cellStyle name="Normal 2 5 4 2 5 2" xfId="3870" xr:uid="{00000000-0005-0000-0000-000034110000}"/>
    <cellStyle name="Normal 2 5 4 2 5 2 2" xfId="8092" xr:uid="{00000000-0005-0000-0000-000035110000}"/>
    <cellStyle name="Normal 2 5 4 2 5 2 2 2" xfId="16542" xr:uid="{7520BFDE-EFD6-4D89-AE4E-93D4723F912C}"/>
    <cellStyle name="Normal 2 5 4 2 5 2 3" xfId="12324" xr:uid="{AED2E8C9-D453-420E-80F7-68F66FB1CF4C}"/>
    <cellStyle name="Normal 2 5 4 2 5 3" xfId="5947" xr:uid="{00000000-0005-0000-0000-000036110000}"/>
    <cellStyle name="Normal 2 5 4 2 5 3 2" xfId="14397" xr:uid="{7ABCB664-38AB-445A-93FE-E5A243F78ADC}"/>
    <cellStyle name="Normal 2 5 4 2 5 4" xfId="10179" xr:uid="{9B7CC3FC-67CC-49D2-85C1-626BC3793718}"/>
    <cellStyle name="Normal 2 5 4 2 6" xfId="2054" xr:uid="{00000000-0005-0000-0000-000037110000}"/>
    <cellStyle name="Normal 2 5 4 2 6 2" xfId="4283" xr:uid="{00000000-0005-0000-0000-000038110000}"/>
    <cellStyle name="Normal 2 5 4 2 6 2 2" xfId="8505" xr:uid="{00000000-0005-0000-0000-000039110000}"/>
    <cellStyle name="Normal 2 5 4 2 6 2 2 2" xfId="16955" xr:uid="{482952E2-BC31-40B7-B734-2CC49D6EDE73}"/>
    <cellStyle name="Normal 2 5 4 2 6 2 3" xfId="12737" xr:uid="{32DF3B56-536E-4711-A13D-88AF484E6F66}"/>
    <cellStyle name="Normal 2 5 4 2 6 3" xfId="6360" xr:uid="{00000000-0005-0000-0000-00003A110000}"/>
    <cellStyle name="Normal 2 5 4 2 6 3 2" xfId="14810" xr:uid="{3688E8C6-80A6-4D6B-A3E0-021378B933BB}"/>
    <cellStyle name="Normal 2 5 4 2 6 4" xfId="10592" xr:uid="{FF6468D1-60DC-482D-AF7B-49C3396B9017}"/>
    <cellStyle name="Normal 2 5 4 2 7" xfId="2490" xr:uid="{00000000-0005-0000-0000-00003B110000}"/>
    <cellStyle name="Normal 2 5 4 2 7 2" xfId="6773" xr:uid="{00000000-0005-0000-0000-00003C110000}"/>
    <cellStyle name="Normal 2 5 4 2 7 2 2" xfId="15223" xr:uid="{0109BE74-088B-4598-A015-B5CD49C372FF}"/>
    <cellStyle name="Normal 2 5 4 2 7 3" xfId="11005" xr:uid="{5701A878-3027-488C-96DE-F57032E79BE1}"/>
    <cellStyle name="Normal 2 5 4 2 8" xfId="4707" xr:uid="{00000000-0005-0000-0000-00003D110000}"/>
    <cellStyle name="Normal 2 5 4 2 8 2" xfId="13157" xr:uid="{616772D4-F199-4BFF-BED8-E40D93F44903}"/>
    <cellStyle name="Normal 2 5 4 2 9" xfId="8939" xr:uid="{460D3781-6BDF-4CD7-859A-B2C65CE0583D}"/>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2 2 2" xfId="15718" xr:uid="{D8F94763-43DC-44A8-99B2-F8458E395848}"/>
    <cellStyle name="Normal 2 5 4 3 2 2 3" xfId="11500" xr:uid="{C563B1CF-46FA-40C5-B0B9-BD242E896CC8}"/>
    <cellStyle name="Normal 2 5 4 3 2 3" xfId="5123" xr:uid="{00000000-0005-0000-0000-000042110000}"/>
    <cellStyle name="Normal 2 5 4 3 2 3 2" xfId="13573" xr:uid="{AF45F7C3-BF67-4BE3-AE3E-F0C833ECBC29}"/>
    <cellStyle name="Normal 2 5 4 3 2 4" xfId="9355" xr:uid="{1F184944-C333-49C5-8E3E-826B58546F4A}"/>
    <cellStyle name="Normal 2 5 4 3 3" xfId="1229" xr:uid="{00000000-0005-0000-0000-000043110000}"/>
    <cellStyle name="Normal 2 5 4 3 3 2" xfId="3459" xr:uid="{00000000-0005-0000-0000-000044110000}"/>
    <cellStyle name="Normal 2 5 4 3 3 2 2" xfId="7681" xr:uid="{00000000-0005-0000-0000-000045110000}"/>
    <cellStyle name="Normal 2 5 4 3 3 2 2 2" xfId="16131" xr:uid="{03448779-2BDD-4B0E-AF56-4FBED8121C48}"/>
    <cellStyle name="Normal 2 5 4 3 3 2 3" xfId="11913" xr:uid="{03EED480-F66D-4DD4-ADC2-FEEB12998007}"/>
    <cellStyle name="Normal 2 5 4 3 3 3" xfId="5536" xr:uid="{00000000-0005-0000-0000-000046110000}"/>
    <cellStyle name="Normal 2 5 4 3 3 3 2" xfId="13986" xr:uid="{1E6ABF4C-AD8E-4743-85AF-BB9E36AED831}"/>
    <cellStyle name="Normal 2 5 4 3 3 4" xfId="9768" xr:uid="{AF7971A0-7694-45FD-B17B-56F19FEA1B40}"/>
    <cellStyle name="Normal 2 5 4 3 4" xfId="1642" xr:uid="{00000000-0005-0000-0000-000047110000}"/>
    <cellStyle name="Normal 2 5 4 3 4 2" xfId="3872" xr:uid="{00000000-0005-0000-0000-000048110000}"/>
    <cellStyle name="Normal 2 5 4 3 4 2 2" xfId="8094" xr:uid="{00000000-0005-0000-0000-000049110000}"/>
    <cellStyle name="Normal 2 5 4 3 4 2 2 2" xfId="16544" xr:uid="{4B21FD77-C238-4F27-98D9-900188D4C670}"/>
    <cellStyle name="Normal 2 5 4 3 4 2 3" xfId="12326" xr:uid="{642D8D34-9B0B-48E3-B320-EEDF88E9EA8B}"/>
    <cellStyle name="Normal 2 5 4 3 4 3" xfId="5949" xr:uid="{00000000-0005-0000-0000-00004A110000}"/>
    <cellStyle name="Normal 2 5 4 3 4 3 2" xfId="14399" xr:uid="{B896C625-FC46-43CE-8F4D-CFBFB8C18430}"/>
    <cellStyle name="Normal 2 5 4 3 4 4" xfId="10181" xr:uid="{E19384A2-6404-4EC7-92AF-935AACE1F81D}"/>
    <cellStyle name="Normal 2 5 4 3 5" xfId="2056" xr:uid="{00000000-0005-0000-0000-00004B110000}"/>
    <cellStyle name="Normal 2 5 4 3 5 2" xfId="4285" xr:uid="{00000000-0005-0000-0000-00004C110000}"/>
    <cellStyle name="Normal 2 5 4 3 5 2 2" xfId="8507" xr:uid="{00000000-0005-0000-0000-00004D110000}"/>
    <cellStyle name="Normal 2 5 4 3 5 2 2 2" xfId="16957" xr:uid="{C05CAA02-87EE-411F-A223-67CA61A04294}"/>
    <cellStyle name="Normal 2 5 4 3 5 2 3" xfId="12739" xr:uid="{473C0865-B086-47AD-8BB8-E2BA6F4E7544}"/>
    <cellStyle name="Normal 2 5 4 3 5 3" xfId="6362" xr:uid="{00000000-0005-0000-0000-00004E110000}"/>
    <cellStyle name="Normal 2 5 4 3 5 3 2" xfId="14812" xr:uid="{F88EA0AB-C855-468F-9667-943416CA97D4}"/>
    <cellStyle name="Normal 2 5 4 3 5 4" xfId="10594" xr:uid="{27047716-CCAF-4410-A4A3-3451134CE59A}"/>
    <cellStyle name="Normal 2 5 4 3 6" xfId="2492" xr:uid="{00000000-0005-0000-0000-00004F110000}"/>
    <cellStyle name="Normal 2 5 4 3 6 2" xfId="6775" xr:uid="{00000000-0005-0000-0000-000050110000}"/>
    <cellStyle name="Normal 2 5 4 3 6 2 2" xfId="15225" xr:uid="{4D36F727-0510-4C52-86D7-EA0AD1C41436}"/>
    <cellStyle name="Normal 2 5 4 3 6 3" xfId="11007" xr:uid="{16506547-BACA-4BBB-97F2-DEB0010A5D19}"/>
    <cellStyle name="Normal 2 5 4 3 7" xfId="4709" xr:uid="{00000000-0005-0000-0000-000051110000}"/>
    <cellStyle name="Normal 2 5 4 3 7 2" xfId="13159" xr:uid="{8BB9E1F7-A682-49B6-8DB8-BA6F46413B1D}"/>
    <cellStyle name="Normal 2 5 4 3 8" xfId="8941" xr:uid="{2F53BFCA-B948-4B54-BF4F-6B1E53683809}"/>
    <cellStyle name="Normal 2 5 4 4" xfId="804" xr:uid="{00000000-0005-0000-0000-000052110000}"/>
    <cellStyle name="Normal 2 5 4 4 2" xfId="3043" xr:uid="{00000000-0005-0000-0000-000053110000}"/>
    <cellStyle name="Normal 2 5 4 4 2 2" xfId="7265" xr:uid="{00000000-0005-0000-0000-000054110000}"/>
    <cellStyle name="Normal 2 5 4 4 2 2 2" xfId="15715" xr:uid="{BCA181A3-B25D-43FB-BB1F-F00759EC3E3B}"/>
    <cellStyle name="Normal 2 5 4 4 2 3" xfId="11497" xr:uid="{B1F5204F-4BDA-4000-950E-9C03F9D3D586}"/>
    <cellStyle name="Normal 2 5 4 4 3" xfId="5120" xr:uid="{00000000-0005-0000-0000-000055110000}"/>
    <cellStyle name="Normal 2 5 4 4 3 2" xfId="13570" xr:uid="{086095BF-31B6-4E0E-A761-B23CBBE155AF}"/>
    <cellStyle name="Normal 2 5 4 4 4" xfId="9352" xr:uid="{9685F9A8-5BA6-4E78-905A-A8EDB5916D51}"/>
    <cellStyle name="Normal 2 5 4 5" xfId="1226" xr:uid="{00000000-0005-0000-0000-000056110000}"/>
    <cellStyle name="Normal 2 5 4 5 2" xfId="3456" xr:uid="{00000000-0005-0000-0000-000057110000}"/>
    <cellStyle name="Normal 2 5 4 5 2 2" xfId="7678" xr:uid="{00000000-0005-0000-0000-000058110000}"/>
    <cellStyle name="Normal 2 5 4 5 2 2 2" xfId="16128" xr:uid="{D6F7EA2F-E25E-4A72-845E-69242B49A328}"/>
    <cellStyle name="Normal 2 5 4 5 2 3" xfId="11910" xr:uid="{7E7D658A-D2B2-4831-81A9-FD503F47EE10}"/>
    <cellStyle name="Normal 2 5 4 5 3" xfId="5533" xr:uid="{00000000-0005-0000-0000-000059110000}"/>
    <cellStyle name="Normal 2 5 4 5 3 2" xfId="13983" xr:uid="{41441AC0-B0AB-45AF-A3AA-FA5FB1BF2328}"/>
    <cellStyle name="Normal 2 5 4 5 4" xfId="9765" xr:uid="{FC01D808-B773-49DB-98DB-15E15B5DF4F6}"/>
    <cellStyle name="Normal 2 5 4 6" xfId="1639" xr:uid="{00000000-0005-0000-0000-00005A110000}"/>
    <cellStyle name="Normal 2 5 4 6 2" xfId="3869" xr:uid="{00000000-0005-0000-0000-00005B110000}"/>
    <cellStyle name="Normal 2 5 4 6 2 2" xfId="8091" xr:uid="{00000000-0005-0000-0000-00005C110000}"/>
    <cellStyle name="Normal 2 5 4 6 2 2 2" xfId="16541" xr:uid="{DC64C495-C526-4BF3-8999-53956F82F209}"/>
    <cellStyle name="Normal 2 5 4 6 2 3" xfId="12323" xr:uid="{9A02D532-548E-4BFC-B3DA-713C6E06A1C9}"/>
    <cellStyle name="Normal 2 5 4 6 3" xfId="5946" xr:uid="{00000000-0005-0000-0000-00005D110000}"/>
    <cellStyle name="Normal 2 5 4 6 3 2" xfId="14396" xr:uid="{2A8567AD-AC5E-44B7-8F30-A0A38EAEB84D}"/>
    <cellStyle name="Normal 2 5 4 6 4" xfId="10178" xr:uid="{101A3C1C-0EB4-4278-BFB6-A0ADAC875600}"/>
    <cellStyle name="Normal 2 5 4 7" xfId="2053" xr:uid="{00000000-0005-0000-0000-00005E110000}"/>
    <cellStyle name="Normal 2 5 4 7 2" xfId="4282" xr:uid="{00000000-0005-0000-0000-00005F110000}"/>
    <cellStyle name="Normal 2 5 4 7 2 2" xfId="8504" xr:uid="{00000000-0005-0000-0000-000060110000}"/>
    <cellStyle name="Normal 2 5 4 7 2 2 2" xfId="16954" xr:uid="{0A33103D-399C-4F4C-8F02-9D7ADB71FFD2}"/>
    <cellStyle name="Normal 2 5 4 7 2 3" xfId="12736" xr:uid="{EFE80F3B-5F25-418F-92DB-F69B4DBA9AD2}"/>
    <cellStyle name="Normal 2 5 4 7 3" xfId="6359" xr:uid="{00000000-0005-0000-0000-000061110000}"/>
    <cellStyle name="Normal 2 5 4 7 3 2" xfId="14809" xr:uid="{9AC74D0E-176D-4B43-9155-0162D3CB8827}"/>
    <cellStyle name="Normal 2 5 4 7 4" xfId="10591" xr:uid="{B5ACEE90-B548-4F7A-8D42-965DB651D635}"/>
    <cellStyle name="Normal 2 5 4 8" xfId="2489" xr:uid="{00000000-0005-0000-0000-000062110000}"/>
    <cellStyle name="Normal 2 5 4 8 2" xfId="6772" xr:uid="{00000000-0005-0000-0000-000063110000}"/>
    <cellStyle name="Normal 2 5 4 8 2 2" xfId="15222" xr:uid="{760671B5-1032-4A39-A544-665396C6C6A8}"/>
    <cellStyle name="Normal 2 5 4 8 3" xfId="11004" xr:uid="{34B116B0-0E63-4126-B046-4DAA4BCB8715}"/>
    <cellStyle name="Normal 2 5 4 9" xfId="4706" xr:uid="{00000000-0005-0000-0000-000064110000}"/>
    <cellStyle name="Normal 2 5 4 9 2" xfId="13156" xr:uid="{EE1C3874-69E9-4CE2-9DCC-EF86422A2347}"/>
    <cellStyle name="Normal 2 5 5" xfId="803" xr:uid="{00000000-0005-0000-0000-000065110000}"/>
    <cellStyle name="Normal 2 5 5 2" xfId="3042" xr:uid="{00000000-0005-0000-0000-000066110000}"/>
    <cellStyle name="Normal 2 5 5 2 2" xfId="7264" xr:uid="{00000000-0005-0000-0000-000067110000}"/>
    <cellStyle name="Normal 2 5 5 2 2 2" xfId="15714" xr:uid="{E29C1976-18F7-400A-A7F1-B6AAA5A6E8FC}"/>
    <cellStyle name="Normal 2 5 5 2 3" xfId="11496" xr:uid="{06C0C359-0CB4-448F-9EDB-279E0525003B}"/>
    <cellStyle name="Normal 2 5 5 3" xfId="5119" xr:uid="{00000000-0005-0000-0000-000068110000}"/>
    <cellStyle name="Normal 2 5 5 3 2" xfId="13569" xr:uid="{45506EB5-FC15-4BBB-B9BF-C83302D49007}"/>
    <cellStyle name="Normal 2 5 5 4" xfId="9351" xr:uid="{02D96533-1158-473F-BE96-AA43690EDC9E}"/>
    <cellStyle name="Normal 2 5 6" xfId="1225" xr:uid="{00000000-0005-0000-0000-000069110000}"/>
    <cellStyle name="Normal 2 5 6 2" xfId="3455" xr:uid="{00000000-0005-0000-0000-00006A110000}"/>
    <cellStyle name="Normal 2 5 6 2 2" xfId="7677" xr:uid="{00000000-0005-0000-0000-00006B110000}"/>
    <cellStyle name="Normal 2 5 6 2 2 2" xfId="16127" xr:uid="{BDAC0AE9-1CF3-4F93-AB10-65D16778BBE4}"/>
    <cellStyle name="Normal 2 5 6 2 3" xfId="11909" xr:uid="{AC37A736-FFAB-4BF3-B633-D62F49ADA25A}"/>
    <cellStyle name="Normal 2 5 6 3" xfId="5532" xr:uid="{00000000-0005-0000-0000-00006C110000}"/>
    <cellStyle name="Normal 2 5 6 3 2" xfId="13982" xr:uid="{87553B6F-0985-4E08-B090-6CD398FAA75C}"/>
    <cellStyle name="Normal 2 5 6 4" xfId="9764" xr:uid="{3381E0D2-F4D7-415A-A20A-F448DCB9E16E}"/>
    <cellStyle name="Normal 2 5 7" xfId="1638" xr:uid="{00000000-0005-0000-0000-00006D110000}"/>
    <cellStyle name="Normal 2 5 7 2" xfId="3868" xr:uid="{00000000-0005-0000-0000-00006E110000}"/>
    <cellStyle name="Normal 2 5 7 2 2" xfId="8090" xr:uid="{00000000-0005-0000-0000-00006F110000}"/>
    <cellStyle name="Normal 2 5 7 2 2 2" xfId="16540" xr:uid="{067A70FD-81C7-417E-8B0E-8504DE9AF347}"/>
    <cellStyle name="Normal 2 5 7 2 3" xfId="12322" xr:uid="{079D4BBF-D665-4497-8DA0-D59AB5AC872B}"/>
    <cellStyle name="Normal 2 5 7 3" xfId="5945" xr:uid="{00000000-0005-0000-0000-000070110000}"/>
    <cellStyle name="Normal 2 5 7 3 2" xfId="14395" xr:uid="{3AE4ACF6-F787-4F04-A4B9-CE5814AE46AF}"/>
    <cellStyle name="Normal 2 5 7 4" xfId="10177" xr:uid="{3CB0C093-922E-4667-801C-59B2AFA641C1}"/>
    <cellStyle name="Normal 2 5 8" xfId="2052" xr:uid="{00000000-0005-0000-0000-000071110000}"/>
    <cellStyle name="Normal 2 5 8 2" xfId="4281" xr:uid="{00000000-0005-0000-0000-000072110000}"/>
    <cellStyle name="Normal 2 5 8 2 2" xfId="8503" xr:uid="{00000000-0005-0000-0000-000073110000}"/>
    <cellStyle name="Normal 2 5 8 2 2 2" xfId="16953" xr:uid="{6172BAC9-EE08-4C6D-85D7-DA466FD38C92}"/>
    <cellStyle name="Normal 2 5 8 2 3" xfId="12735" xr:uid="{4AB60DEC-6C54-457F-BDAC-3382BD42A3E1}"/>
    <cellStyle name="Normal 2 5 8 3" xfId="6358" xr:uid="{00000000-0005-0000-0000-000074110000}"/>
    <cellStyle name="Normal 2 5 8 3 2" xfId="14808" xr:uid="{7911A119-CF76-470F-A70B-43882ED7DA3B}"/>
    <cellStyle name="Normal 2 5 8 4" xfId="10590" xr:uid="{21DA0549-6B0C-427A-A989-B0BFE9C39C30}"/>
    <cellStyle name="Normal 2 5 9" xfId="2488" xr:uid="{00000000-0005-0000-0000-000075110000}"/>
    <cellStyle name="Normal 2 5 9 2" xfId="6771" xr:uid="{00000000-0005-0000-0000-000076110000}"/>
    <cellStyle name="Normal 2 5 9 2 2" xfId="15221" xr:uid="{EA11B2A4-564F-4115-A43F-FD533800BA54}"/>
    <cellStyle name="Normal 2 5 9 3" xfId="11003" xr:uid="{05F4F7F7-88DB-49E2-B59E-052727099496}"/>
    <cellStyle name="Normal 2 6" xfId="322" xr:uid="{00000000-0005-0000-0000-000077110000}"/>
    <cellStyle name="Normal 2 7" xfId="769" xr:uid="{00000000-0005-0000-0000-000078110000}"/>
    <cellStyle name="Normal 2 8" xfId="4495" xr:uid="{00000000-0005-0000-0000-000079110000}"/>
    <cellStyle name="Normal 2 8 2" xfId="12947" xr:uid="{2BB1F49A-2ED5-403C-B76A-57D832D9F34D}"/>
    <cellStyle name="Normal 3" xfId="323" xr:uid="{00000000-0005-0000-0000-00007A110000}"/>
    <cellStyle name="Normal 3 2" xfId="324" xr:uid="{00000000-0005-0000-0000-00007B110000}"/>
    <cellStyle name="Normal 3 2 10" xfId="8942" xr:uid="{5430C149-0FC2-417E-9DB2-8BA441CA93D4}"/>
    <cellStyle name="Normal 3 2 2" xfId="325" xr:uid="{00000000-0005-0000-0000-00007C110000}"/>
    <cellStyle name="Normal 3 2 2 2" xfId="810" xr:uid="{00000000-0005-0000-0000-00007D110000}"/>
    <cellStyle name="Normal 3 2 3" xfId="326" xr:uid="{00000000-0005-0000-0000-00007E110000}"/>
    <cellStyle name="Normal 3 2 3 10" xfId="8943" xr:uid="{FA8CC217-2833-496D-9651-641022853E51}"/>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2 2 2" xfId="15722" xr:uid="{6068A1FB-88CE-4B40-98B7-5429CB764BB3}"/>
    <cellStyle name="Normal 3 2 3 2 2 2 2 3" xfId="11504" xr:uid="{9DBD306C-8DB5-4C42-B513-B1A9547AA440}"/>
    <cellStyle name="Normal 3 2 3 2 2 2 3" xfId="5127" xr:uid="{00000000-0005-0000-0000-000084110000}"/>
    <cellStyle name="Normal 3 2 3 2 2 2 3 2" xfId="13577" xr:uid="{229A1F49-C940-4D6B-9D3A-107BCCF13B74}"/>
    <cellStyle name="Normal 3 2 3 2 2 2 4" xfId="9359" xr:uid="{7E563D9F-837B-4DE0-BB3A-7453E5EEDB66}"/>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2 2 2" xfId="16135" xr:uid="{FAEF972C-212C-4248-B5D9-BB02EEFB7420}"/>
    <cellStyle name="Normal 3 2 3 2 2 3 2 3" xfId="11917" xr:uid="{50EE20CC-057F-4CE0-9890-86473CB67A35}"/>
    <cellStyle name="Normal 3 2 3 2 2 3 3" xfId="5540" xr:uid="{00000000-0005-0000-0000-000088110000}"/>
    <cellStyle name="Normal 3 2 3 2 2 3 3 2" xfId="13990" xr:uid="{40B12E15-B5ED-46E8-A92C-DA4E04D1167C}"/>
    <cellStyle name="Normal 3 2 3 2 2 3 4" xfId="9772" xr:uid="{32B23842-5CE0-4963-B7FB-377FCF8E1EC7}"/>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2 2 2" xfId="16548" xr:uid="{9253E7B5-D3E0-46EB-937D-0EBC52DE4483}"/>
    <cellStyle name="Normal 3 2 3 2 2 4 2 3" xfId="12330" xr:uid="{1019D7E5-4BC1-4AA4-81A4-74A88D7004F2}"/>
    <cellStyle name="Normal 3 2 3 2 2 4 3" xfId="5953" xr:uid="{00000000-0005-0000-0000-00008C110000}"/>
    <cellStyle name="Normal 3 2 3 2 2 4 3 2" xfId="14403" xr:uid="{B4C1D83F-B956-4B88-8A01-3A63F64B9C47}"/>
    <cellStyle name="Normal 3 2 3 2 2 4 4" xfId="10185" xr:uid="{397D3865-3916-4E81-95CB-A4A596E41082}"/>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2 2 2" xfId="16961" xr:uid="{A7DA2AFB-2A4B-46E1-8D06-6A51D4DFE8E4}"/>
    <cellStyle name="Normal 3 2 3 2 2 5 2 3" xfId="12743" xr:uid="{398014E2-5D7E-40CE-888C-2A035A6ECE2D}"/>
    <cellStyle name="Normal 3 2 3 2 2 5 3" xfId="6366" xr:uid="{00000000-0005-0000-0000-000090110000}"/>
    <cellStyle name="Normal 3 2 3 2 2 5 3 2" xfId="14816" xr:uid="{3243147B-EF50-4608-A97B-C8706B603FD0}"/>
    <cellStyle name="Normal 3 2 3 2 2 5 4" xfId="10598" xr:uid="{BB5B7405-903B-481C-A275-9D2EB042ECB2}"/>
    <cellStyle name="Normal 3 2 3 2 2 6" xfId="2496" xr:uid="{00000000-0005-0000-0000-000091110000}"/>
    <cellStyle name="Normal 3 2 3 2 2 6 2" xfId="6779" xr:uid="{00000000-0005-0000-0000-000092110000}"/>
    <cellStyle name="Normal 3 2 3 2 2 6 2 2" xfId="15229" xr:uid="{48909068-B13E-4E09-B6FE-11718F8BECE9}"/>
    <cellStyle name="Normal 3 2 3 2 2 6 3" xfId="11011" xr:uid="{9AF1B149-65F6-40EA-93B0-2D4EA03F27D5}"/>
    <cellStyle name="Normal 3 2 3 2 2 7" xfId="4713" xr:uid="{00000000-0005-0000-0000-000093110000}"/>
    <cellStyle name="Normal 3 2 3 2 2 7 2" xfId="13163" xr:uid="{3E318478-3F8D-47C5-AC48-BE9278D63562}"/>
    <cellStyle name="Normal 3 2 3 2 2 8" xfId="8945" xr:uid="{5B45216C-EFF3-4077-BC1E-1949032F6AF6}"/>
    <cellStyle name="Normal 3 2 3 2 3" xfId="812" xr:uid="{00000000-0005-0000-0000-000094110000}"/>
    <cellStyle name="Normal 3 2 3 2 3 2" xfId="3049" xr:uid="{00000000-0005-0000-0000-000095110000}"/>
    <cellStyle name="Normal 3 2 3 2 3 2 2" xfId="7271" xr:uid="{00000000-0005-0000-0000-000096110000}"/>
    <cellStyle name="Normal 3 2 3 2 3 2 2 2" xfId="15721" xr:uid="{465DECB0-2F00-4963-A3CA-0FDD76D3C6B5}"/>
    <cellStyle name="Normal 3 2 3 2 3 2 3" xfId="11503" xr:uid="{6B1AC6D3-1D58-434B-9E2D-B3D108E6AE6A}"/>
    <cellStyle name="Normal 3 2 3 2 3 3" xfId="5126" xr:uid="{00000000-0005-0000-0000-000097110000}"/>
    <cellStyle name="Normal 3 2 3 2 3 3 2" xfId="13576" xr:uid="{5A2BECB4-74EE-4DBC-8171-417877096AC9}"/>
    <cellStyle name="Normal 3 2 3 2 3 4" xfId="9358" xr:uid="{62447597-50C3-4936-9C44-1A8CE0C30A35}"/>
    <cellStyle name="Normal 3 2 3 2 4" xfId="1232" xr:uid="{00000000-0005-0000-0000-000098110000}"/>
    <cellStyle name="Normal 3 2 3 2 4 2" xfId="3462" xr:uid="{00000000-0005-0000-0000-000099110000}"/>
    <cellStyle name="Normal 3 2 3 2 4 2 2" xfId="7684" xr:uid="{00000000-0005-0000-0000-00009A110000}"/>
    <cellStyle name="Normal 3 2 3 2 4 2 2 2" xfId="16134" xr:uid="{06006B66-75E5-427C-9864-BFF7B81DE9CD}"/>
    <cellStyle name="Normal 3 2 3 2 4 2 3" xfId="11916" xr:uid="{E9FAE807-7CFE-4F8A-910D-6E7ECACECC25}"/>
    <cellStyle name="Normal 3 2 3 2 4 3" xfId="5539" xr:uid="{00000000-0005-0000-0000-00009B110000}"/>
    <cellStyle name="Normal 3 2 3 2 4 3 2" xfId="13989" xr:uid="{70100412-EA94-4703-B10C-5DBED4423190}"/>
    <cellStyle name="Normal 3 2 3 2 4 4" xfId="9771" xr:uid="{676BB3D3-A095-45F6-937A-869C220AC26E}"/>
    <cellStyle name="Normal 3 2 3 2 5" xfId="1645" xr:uid="{00000000-0005-0000-0000-00009C110000}"/>
    <cellStyle name="Normal 3 2 3 2 5 2" xfId="3875" xr:uid="{00000000-0005-0000-0000-00009D110000}"/>
    <cellStyle name="Normal 3 2 3 2 5 2 2" xfId="8097" xr:uid="{00000000-0005-0000-0000-00009E110000}"/>
    <cellStyle name="Normal 3 2 3 2 5 2 2 2" xfId="16547" xr:uid="{52225C29-EF29-4EFE-BC9A-C9FD2AC07FF5}"/>
    <cellStyle name="Normal 3 2 3 2 5 2 3" xfId="12329" xr:uid="{4B395294-19E1-41E9-95C7-24AE05F8583F}"/>
    <cellStyle name="Normal 3 2 3 2 5 3" xfId="5952" xr:uid="{00000000-0005-0000-0000-00009F110000}"/>
    <cellStyle name="Normal 3 2 3 2 5 3 2" xfId="14402" xr:uid="{822F0064-3D57-48F1-998A-B145B5617749}"/>
    <cellStyle name="Normal 3 2 3 2 5 4" xfId="10184" xr:uid="{3BC37BC5-86C3-4512-BAEF-CA3F94A06C46}"/>
    <cellStyle name="Normal 3 2 3 2 6" xfId="2059" xr:uid="{00000000-0005-0000-0000-0000A0110000}"/>
    <cellStyle name="Normal 3 2 3 2 6 2" xfId="4288" xr:uid="{00000000-0005-0000-0000-0000A1110000}"/>
    <cellStyle name="Normal 3 2 3 2 6 2 2" xfId="8510" xr:uid="{00000000-0005-0000-0000-0000A2110000}"/>
    <cellStyle name="Normal 3 2 3 2 6 2 2 2" xfId="16960" xr:uid="{A1240F0E-4018-4CA9-AAF7-31A95F63988B}"/>
    <cellStyle name="Normal 3 2 3 2 6 2 3" xfId="12742" xr:uid="{E64D3270-EF24-4EB1-9DA5-6A53F23D655D}"/>
    <cellStyle name="Normal 3 2 3 2 6 3" xfId="6365" xr:uid="{00000000-0005-0000-0000-0000A3110000}"/>
    <cellStyle name="Normal 3 2 3 2 6 3 2" xfId="14815" xr:uid="{F533BD39-5C50-4308-B99A-99EB3B14E53C}"/>
    <cellStyle name="Normal 3 2 3 2 6 4" xfId="10597" xr:uid="{21B1E0A9-EE0B-4FFD-98BF-8CD3A75E5FE7}"/>
    <cellStyle name="Normal 3 2 3 2 7" xfId="2495" xr:uid="{00000000-0005-0000-0000-0000A4110000}"/>
    <cellStyle name="Normal 3 2 3 2 7 2" xfId="6778" xr:uid="{00000000-0005-0000-0000-0000A5110000}"/>
    <cellStyle name="Normal 3 2 3 2 7 2 2" xfId="15228" xr:uid="{894A3BDB-4197-4ED9-8BE7-FF35AF1392A2}"/>
    <cellStyle name="Normal 3 2 3 2 7 3" xfId="11010" xr:uid="{E2A311B3-8319-4034-B3D2-763586570414}"/>
    <cellStyle name="Normal 3 2 3 2 8" xfId="4712" xr:uid="{00000000-0005-0000-0000-0000A6110000}"/>
    <cellStyle name="Normal 3 2 3 2 8 2" xfId="13162" xr:uid="{6D00E3EF-C816-43D4-9BC1-84AF6D654D43}"/>
    <cellStyle name="Normal 3 2 3 2 9" xfId="8944" xr:uid="{40EA9950-D0A7-45A4-B418-C9C36791C2B5}"/>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2 2 2" xfId="15723" xr:uid="{6E583CE7-CEC0-44B4-91B1-840EC0001518}"/>
    <cellStyle name="Normal 3 2 3 3 2 2 3" xfId="11505" xr:uid="{210609F4-8863-451B-B2F5-F43603264574}"/>
    <cellStyle name="Normal 3 2 3 3 2 3" xfId="5128" xr:uid="{00000000-0005-0000-0000-0000AB110000}"/>
    <cellStyle name="Normal 3 2 3 3 2 3 2" xfId="13578" xr:uid="{C76948DD-C0EF-4ECA-BDF2-C16F1F7EB0A3}"/>
    <cellStyle name="Normal 3 2 3 3 2 4" xfId="9360" xr:uid="{B7152320-A951-4DBC-8E55-86B98AEDE6DD}"/>
    <cellStyle name="Normal 3 2 3 3 3" xfId="1234" xr:uid="{00000000-0005-0000-0000-0000AC110000}"/>
    <cellStyle name="Normal 3 2 3 3 3 2" xfId="3464" xr:uid="{00000000-0005-0000-0000-0000AD110000}"/>
    <cellStyle name="Normal 3 2 3 3 3 2 2" xfId="7686" xr:uid="{00000000-0005-0000-0000-0000AE110000}"/>
    <cellStyle name="Normal 3 2 3 3 3 2 2 2" xfId="16136" xr:uid="{C3B18231-36CE-437A-9D65-C6E04FC14643}"/>
    <cellStyle name="Normal 3 2 3 3 3 2 3" xfId="11918" xr:uid="{D6B052C6-7CAF-42CD-B672-4F52474758C6}"/>
    <cellStyle name="Normal 3 2 3 3 3 3" xfId="5541" xr:uid="{00000000-0005-0000-0000-0000AF110000}"/>
    <cellStyle name="Normal 3 2 3 3 3 3 2" xfId="13991" xr:uid="{9C94E846-E0DA-4CBA-AC13-9E79C98E0C12}"/>
    <cellStyle name="Normal 3 2 3 3 3 4" xfId="9773" xr:uid="{A96D6A13-2BD4-491D-AF7C-14D2E15D374A}"/>
    <cellStyle name="Normal 3 2 3 3 4" xfId="1647" xr:uid="{00000000-0005-0000-0000-0000B0110000}"/>
    <cellStyle name="Normal 3 2 3 3 4 2" xfId="3877" xr:uid="{00000000-0005-0000-0000-0000B1110000}"/>
    <cellStyle name="Normal 3 2 3 3 4 2 2" xfId="8099" xr:uid="{00000000-0005-0000-0000-0000B2110000}"/>
    <cellStyle name="Normal 3 2 3 3 4 2 2 2" xfId="16549" xr:uid="{2402AF52-0140-41F5-87B1-86809EACE1CB}"/>
    <cellStyle name="Normal 3 2 3 3 4 2 3" xfId="12331" xr:uid="{D23977F5-9B12-454A-B6EF-09AB3FFEAB03}"/>
    <cellStyle name="Normal 3 2 3 3 4 3" xfId="5954" xr:uid="{00000000-0005-0000-0000-0000B3110000}"/>
    <cellStyle name="Normal 3 2 3 3 4 3 2" xfId="14404" xr:uid="{75EE904F-2485-40B3-8947-85FF47AE3ECF}"/>
    <cellStyle name="Normal 3 2 3 3 4 4" xfId="10186" xr:uid="{DE2815B1-7573-4CA5-85C7-64200A8C2EB4}"/>
    <cellStyle name="Normal 3 2 3 3 5" xfId="2061" xr:uid="{00000000-0005-0000-0000-0000B4110000}"/>
    <cellStyle name="Normal 3 2 3 3 5 2" xfId="4290" xr:uid="{00000000-0005-0000-0000-0000B5110000}"/>
    <cellStyle name="Normal 3 2 3 3 5 2 2" xfId="8512" xr:uid="{00000000-0005-0000-0000-0000B6110000}"/>
    <cellStyle name="Normal 3 2 3 3 5 2 2 2" xfId="16962" xr:uid="{3ED843B2-C074-433F-9C6D-B5A04BED35D0}"/>
    <cellStyle name="Normal 3 2 3 3 5 2 3" xfId="12744" xr:uid="{9628976F-9224-4421-87DC-BF6DFB092CAF}"/>
    <cellStyle name="Normal 3 2 3 3 5 3" xfId="6367" xr:uid="{00000000-0005-0000-0000-0000B7110000}"/>
    <cellStyle name="Normal 3 2 3 3 5 3 2" xfId="14817" xr:uid="{2B5FB69D-04F3-4FA9-89EE-5D28A257B37C}"/>
    <cellStyle name="Normal 3 2 3 3 5 4" xfId="10599" xr:uid="{A0920EE0-702D-4437-B717-16BE7B0DE6B8}"/>
    <cellStyle name="Normal 3 2 3 3 6" xfId="2497" xr:uid="{00000000-0005-0000-0000-0000B8110000}"/>
    <cellStyle name="Normal 3 2 3 3 6 2" xfId="6780" xr:uid="{00000000-0005-0000-0000-0000B9110000}"/>
    <cellStyle name="Normal 3 2 3 3 6 2 2" xfId="15230" xr:uid="{04610E2B-DC78-47C0-8660-F7E048087C98}"/>
    <cellStyle name="Normal 3 2 3 3 6 3" xfId="11012" xr:uid="{2500E9B0-9DBE-4727-9C77-C2CEE5110682}"/>
    <cellStyle name="Normal 3 2 3 3 7" xfId="4714" xr:uid="{00000000-0005-0000-0000-0000BA110000}"/>
    <cellStyle name="Normal 3 2 3 3 7 2" xfId="13164" xr:uid="{8DEF1E5F-A5BB-4C23-9E33-1488DE330CD8}"/>
    <cellStyle name="Normal 3 2 3 3 8" xfId="8946" xr:uid="{84C93CE5-298A-4355-9FA1-4B5BC505C576}"/>
    <cellStyle name="Normal 3 2 3 4" xfId="811" xr:uid="{00000000-0005-0000-0000-0000BB110000}"/>
    <cellStyle name="Normal 3 2 3 4 2" xfId="3048" xr:uid="{00000000-0005-0000-0000-0000BC110000}"/>
    <cellStyle name="Normal 3 2 3 4 2 2" xfId="7270" xr:uid="{00000000-0005-0000-0000-0000BD110000}"/>
    <cellStyle name="Normal 3 2 3 4 2 2 2" xfId="15720" xr:uid="{7268CD37-0881-4E82-91CD-5E963A0397E2}"/>
    <cellStyle name="Normal 3 2 3 4 2 3" xfId="11502" xr:uid="{B6658A52-81F2-473C-AC03-6C8B04E30930}"/>
    <cellStyle name="Normal 3 2 3 4 3" xfId="5125" xr:uid="{00000000-0005-0000-0000-0000BE110000}"/>
    <cellStyle name="Normal 3 2 3 4 3 2" xfId="13575" xr:uid="{53E403B7-DDA6-4FB3-8931-5E03D48EAE92}"/>
    <cellStyle name="Normal 3 2 3 4 4" xfId="9357" xr:uid="{16908E7E-9C9D-4409-87DD-45CC25F62A23}"/>
    <cellStyle name="Normal 3 2 3 5" xfId="1231" xr:uid="{00000000-0005-0000-0000-0000BF110000}"/>
    <cellStyle name="Normal 3 2 3 5 2" xfId="3461" xr:uid="{00000000-0005-0000-0000-0000C0110000}"/>
    <cellStyle name="Normal 3 2 3 5 2 2" xfId="7683" xr:uid="{00000000-0005-0000-0000-0000C1110000}"/>
    <cellStyle name="Normal 3 2 3 5 2 2 2" xfId="16133" xr:uid="{8A7B034D-1209-47A4-B3BF-5CC0BB48A084}"/>
    <cellStyle name="Normal 3 2 3 5 2 3" xfId="11915" xr:uid="{3ADFF836-ADD9-4842-BB8C-DDA3BE30F66E}"/>
    <cellStyle name="Normal 3 2 3 5 3" xfId="5538" xr:uid="{00000000-0005-0000-0000-0000C2110000}"/>
    <cellStyle name="Normal 3 2 3 5 3 2" xfId="13988" xr:uid="{DF60427A-C047-440B-9644-023B48022044}"/>
    <cellStyle name="Normal 3 2 3 5 4" xfId="9770" xr:uid="{3F51068B-3DD4-4054-AD22-B993A9B2F669}"/>
    <cellStyle name="Normal 3 2 3 6" xfId="1644" xr:uid="{00000000-0005-0000-0000-0000C3110000}"/>
    <cellStyle name="Normal 3 2 3 6 2" xfId="3874" xr:uid="{00000000-0005-0000-0000-0000C4110000}"/>
    <cellStyle name="Normal 3 2 3 6 2 2" xfId="8096" xr:uid="{00000000-0005-0000-0000-0000C5110000}"/>
    <cellStyle name="Normal 3 2 3 6 2 2 2" xfId="16546" xr:uid="{476969AC-6B89-491D-8DAF-D5D29EA7EACE}"/>
    <cellStyle name="Normal 3 2 3 6 2 3" xfId="12328" xr:uid="{2B42038A-0397-464A-B723-936F6A29B40A}"/>
    <cellStyle name="Normal 3 2 3 6 3" xfId="5951" xr:uid="{00000000-0005-0000-0000-0000C6110000}"/>
    <cellStyle name="Normal 3 2 3 6 3 2" xfId="14401" xr:uid="{D65A3CBE-67C5-4EDC-8994-90D517E08A00}"/>
    <cellStyle name="Normal 3 2 3 6 4" xfId="10183" xr:uid="{673A88DA-13E5-4489-81BC-E864F5CECE2F}"/>
    <cellStyle name="Normal 3 2 3 7" xfId="2058" xr:uid="{00000000-0005-0000-0000-0000C7110000}"/>
    <cellStyle name="Normal 3 2 3 7 2" xfId="4287" xr:uid="{00000000-0005-0000-0000-0000C8110000}"/>
    <cellStyle name="Normal 3 2 3 7 2 2" xfId="8509" xr:uid="{00000000-0005-0000-0000-0000C9110000}"/>
    <cellStyle name="Normal 3 2 3 7 2 2 2" xfId="16959" xr:uid="{7784D578-2BC9-4F8E-8B43-C2959D617969}"/>
    <cellStyle name="Normal 3 2 3 7 2 3" xfId="12741" xr:uid="{66D55077-FE15-42E6-B82F-28AEDC540DCB}"/>
    <cellStyle name="Normal 3 2 3 7 3" xfId="6364" xr:uid="{00000000-0005-0000-0000-0000CA110000}"/>
    <cellStyle name="Normal 3 2 3 7 3 2" xfId="14814" xr:uid="{D71AF500-016B-426A-8DB7-6FB557DA7B84}"/>
    <cellStyle name="Normal 3 2 3 7 4" xfId="10596" xr:uid="{8BE5E9A3-12F7-4884-9676-80A7F1FEB5E9}"/>
    <cellStyle name="Normal 3 2 3 8" xfId="2494" xr:uid="{00000000-0005-0000-0000-0000CB110000}"/>
    <cellStyle name="Normal 3 2 3 8 2" xfId="6777" xr:uid="{00000000-0005-0000-0000-0000CC110000}"/>
    <cellStyle name="Normal 3 2 3 8 2 2" xfId="15227" xr:uid="{66529658-13EE-4ED3-83E3-63A09C7A49E0}"/>
    <cellStyle name="Normal 3 2 3 8 3" xfId="11009" xr:uid="{59D2ED93-67D3-4CFC-9AF6-FBE841188647}"/>
    <cellStyle name="Normal 3 2 3 9" xfId="4711" xr:uid="{00000000-0005-0000-0000-0000CD110000}"/>
    <cellStyle name="Normal 3 2 3 9 2" xfId="13161" xr:uid="{F4CD16DB-04F5-407E-AE49-E5608867BC82}"/>
    <cellStyle name="Normal 3 2 4" xfId="809" xr:uid="{00000000-0005-0000-0000-0000CE110000}"/>
    <cellStyle name="Normal 3 2 4 2" xfId="3047" xr:uid="{00000000-0005-0000-0000-0000CF110000}"/>
    <cellStyle name="Normal 3 2 4 2 2" xfId="7269" xr:uid="{00000000-0005-0000-0000-0000D0110000}"/>
    <cellStyle name="Normal 3 2 4 2 2 2" xfId="15719" xr:uid="{0EEB1699-5C6B-411F-8D02-E9B8938D1D67}"/>
    <cellStyle name="Normal 3 2 4 2 3" xfId="11501" xr:uid="{C830A073-42A1-4F37-9590-58EC9DDA6A54}"/>
    <cellStyle name="Normal 3 2 4 3" xfId="5124" xr:uid="{00000000-0005-0000-0000-0000D1110000}"/>
    <cellStyle name="Normal 3 2 4 3 2" xfId="13574" xr:uid="{539A01BB-CF36-480D-A58A-D8132CA681C6}"/>
    <cellStyle name="Normal 3 2 4 4" xfId="9356" xr:uid="{66C8985B-77E5-4240-96D6-E08914CA28E7}"/>
    <cellStyle name="Normal 3 2 5" xfId="1230" xr:uid="{00000000-0005-0000-0000-0000D2110000}"/>
    <cellStyle name="Normal 3 2 5 2" xfId="3460" xr:uid="{00000000-0005-0000-0000-0000D3110000}"/>
    <cellStyle name="Normal 3 2 5 2 2" xfId="7682" xr:uid="{00000000-0005-0000-0000-0000D4110000}"/>
    <cellStyle name="Normal 3 2 5 2 2 2" xfId="16132" xr:uid="{81CDEC2D-B8B7-4E05-9601-6D4E7A6B72BF}"/>
    <cellStyle name="Normal 3 2 5 2 3" xfId="11914" xr:uid="{89106D25-D359-489C-9144-5B12EFD73ACB}"/>
    <cellStyle name="Normal 3 2 5 3" xfId="5537" xr:uid="{00000000-0005-0000-0000-0000D5110000}"/>
    <cellStyle name="Normal 3 2 5 3 2" xfId="13987" xr:uid="{08E85741-2E90-4F5B-99C4-6BC17979A780}"/>
    <cellStyle name="Normal 3 2 5 4" xfId="9769" xr:uid="{9F71D9EF-9387-4145-AB81-B44095EF7DB0}"/>
    <cellStyle name="Normal 3 2 6" xfId="1643" xr:uid="{00000000-0005-0000-0000-0000D6110000}"/>
    <cellStyle name="Normal 3 2 6 2" xfId="3873" xr:uid="{00000000-0005-0000-0000-0000D7110000}"/>
    <cellStyle name="Normal 3 2 6 2 2" xfId="8095" xr:uid="{00000000-0005-0000-0000-0000D8110000}"/>
    <cellStyle name="Normal 3 2 6 2 2 2" xfId="16545" xr:uid="{C9593911-3C03-40A3-B98C-F24F220E0B99}"/>
    <cellStyle name="Normal 3 2 6 2 3" xfId="12327" xr:uid="{294486AE-4B9B-4876-89B0-8666A155DA12}"/>
    <cellStyle name="Normal 3 2 6 3" xfId="5950" xr:uid="{00000000-0005-0000-0000-0000D9110000}"/>
    <cellStyle name="Normal 3 2 6 3 2" xfId="14400" xr:uid="{D712C364-CC16-4536-93AA-F5241CE6FA38}"/>
    <cellStyle name="Normal 3 2 6 4" xfId="10182" xr:uid="{E6BFC775-CE6B-415B-8C78-8E28F066781D}"/>
    <cellStyle name="Normal 3 2 7" xfId="2057" xr:uid="{00000000-0005-0000-0000-0000DA110000}"/>
    <cellStyle name="Normal 3 2 7 2" xfId="4286" xr:uid="{00000000-0005-0000-0000-0000DB110000}"/>
    <cellStyle name="Normal 3 2 7 2 2" xfId="8508" xr:uid="{00000000-0005-0000-0000-0000DC110000}"/>
    <cellStyle name="Normal 3 2 7 2 2 2" xfId="16958" xr:uid="{839324E1-492A-4469-BB94-7FABE0DE0707}"/>
    <cellStyle name="Normal 3 2 7 2 3" xfId="12740" xr:uid="{E0DE4A24-C810-483F-8669-B40E2E1BA48F}"/>
    <cellStyle name="Normal 3 2 7 3" xfId="6363" xr:uid="{00000000-0005-0000-0000-0000DD110000}"/>
    <cellStyle name="Normal 3 2 7 3 2" xfId="14813" xr:uid="{016B154F-CCA7-4A3F-8409-734E72C59072}"/>
    <cellStyle name="Normal 3 2 7 4" xfId="10595" xr:uid="{DF14606F-5056-460C-BFE2-79D8BB433BCA}"/>
    <cellStyle name="Normal 3 2 8" xfId="2493" xr:uid="{00000000-0005-0000-0000-0000DE110000}"/>
    <cellStyle name="Normal 3 2 8 2" xfId="6776" xr:uid="{00000000-0005-0000-0000-0000DF110000}"/>
    <cellStyle name="Normal 3 2 8 2 2" xfId="15226" xr:uid="{F5FFD6C7-FEA5-486B-BE5B-425CB201FE1A}"/>
    <cellStyle name="Normal 3 2 8 3" xfId="11008" xr:uid="{23596FCB-46A5-4B86-942F-DD07B1ADE2F4}"/>
    <cellStyle name="Normal 3 2 9" xfId="4710" xr:uid="{00000000-0005-0000-0000-0000E0110000}"/>
    <cellStyle name="Normal 3 2 9 2" xfId="13160" xr:uid="{2950B536-B693-4B4C-A211-DA664DEC71D3}"/>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7" xr:uid="{46F4A912-5A50-4F9C-94E1-17E26302203C}"/>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2 2 2" xfId="16963" xr:uid="{CADB8FD6-8002-4A8E-864F-C6AB477BC250}"/>
    <cellStyle name="Normal 4 2 2 10 2 3" xfId="12745" xr:uid="{E009A007-8A25-4F81-9D36-93AD999C0A75}"/>
    <cellStyle name="Normal 4 2 2 10 3" xfId="6368" xr:uid="{00000000-0005-0000-0000-0000ED110000}"/>
    <cellStyle name="Normal 4 2 2 10 3 2" xfId="14818" xr:uid="{1B981C29-779F-4526-84FF-11B9A88C2CBF}"/>
    <cellStyle name="Normal 4 2 2 10 4" xfId="10600" xr:uid="{2E129DAB-96AF-494F-8B5B-F982A33A9B78}"/>
    <cellStyle name="Normal 4 2 2 11" xfId="2498" xr:uid="{00000000-0005-0000-0000-0000EE110000}"/>
    <cellStyle name="Normal 4 2 2 11 2" xfId="6781" xr:uid="{00000000-0005-0000-0000-0000EF110000}"/>
    <cellStyle name="Normal 4 2 2 11 2 2" xfId="15231" xr:uid="{15C6C461-4B40-4B6D-9019-B8678B4F54BE}"/>
    <cellStyle name="Normal 4 2 2 11 3" xfId="11013" xr:uid="{515FBAEC-5361-40E4-AD94-33A818B7D9CA}"/>
    <cellStyle name="Normal 4 2 2 12" xfId="4716" xr:uid="{00000000-0005-0000-0000-0000F0110000}"/>
    <cellStyle name="Normal 4 2 2 12 2" xfId="13166" xr:uid="{991A717E-32B0-4C39-A21D-069C9385729E}"/>
    <cellStyle name="Normal 4 2 2 13" xfId="8948" xr:uid="{AC156F7C-4F41-4F1B-998D-ECB35FC2F4E5}"/>
    <cellStyle name="Normal 4 2 2 2" xfId="338" xr:uid="{00000000-0005-0000-0000-0000F1110000}"/>
    <cellStyle name="Normal 4 2 2 3" xfId="339" xr:uid="{00000000-0005-0000-0000-0000F2110000}"/>
    <cellStyle name="Normal 4 2 2 3 10" xfId="4717" xr:uid="{00000000-0005-0000-0000-0000F3110000}"/>
    <cellStyle name="Normal 4 2 2 3 10 2" xfId="13167" xr:uid="{549F9FB6-5BE8-4AD2-A090-B6ABA964D87D}"/>
    <cellStyle name="Normal 4 2 2 3 11" xfId="8949" xr:uid="{D45C2EFF-1931-4CB8-8B82-ED8858CCC57A}"/>
    <cellStyle name="Normal 4 2 2 3 2" xfId="340" xr:uid="{00000000-0005-0000-0000-0000F4110000}"/>
    <cellStyle name="Normal 4 2 2 3 2 10" xfId="8950" xr:uid="{37452423-BF5B-4363-9540-8CBE48858C6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2 2 2" xfId="15728" xr:uid="{4695FF0D-8EF2-41BD-95B2-72A44C5A5120}"/>
    <cellStyle name="Normal 4 2 2 3 2 2 2 2 2 3" xfId="11510" xr:uid="{41C0369C-9B9D-46F0-9E8E-E30348D9B422}"/>
    <cellStyle name="Normal 4 2 2 3 2 2 2 2 3" xfId="5133" xr:uid="{00000000-0005-0000-0000-0000FA110000}"/>
    <cellStyle name="Normal 4 2 2 3 2 2 2 2 3 2" xfId="13583" xr:uid="{199EB180-4A4C-4940-8C16-AE2E3FAC6996}"/>
    <cellStyle name="Normal 4 2 2 3 2 2 2 2 4" xfId="9365" xr:uid="{9562BC43-962C-467C-AC90-E7929B3F2873}"/>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2 2 2" xfId="16141" xr:uid="{C6C05AD7-ACAE-4335-8715-1097964DE6BA}"/>
    <cellStyle name="Normal 4 2 2 3 2 2 2 3 2 3" xfId="11923" xr:uid="{9A88090E-C089-480F-866B-98F21E1D80FD}"/>
    <cellStyle name="Normal 4 2 2 3 2 2 2 3 3" xfId="5546" xr:uid="{00000000-0005-0000-0000-0000FE110000}"/>
    <cellStyle name="Normal 4 2 2 3 2 2 2 3 3 2" xfId="13996" xr:uid="{F2C42FDB-88A0-4AF9-9CE7-5E09FB7F36D0}"/>
    <cellStyle name="Normal 4 2 2 3 2 2 2 3 4" xfId="9778" xr:uid="{7A408D3C-9FF3-4AB0-800B-EA27169D1824}"/>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2 2 2" xfId="16554" xr:uid="{B39F2552-C34E-4CA0-AA4B-6CCAE3011AD8}"/>
    <cellStyle name="Normal 4 2 2 3 2 2 2 4 2 3" xfId="12336" xr:uid="{3CB40355-2E53-4751-997C-311022B71807}"/>
    <cellStyle name="Normal 4 2 2 3 2 2 2 4 3" xfId="5959" xr:uid="{00000000-0005-0000-0000-000002120000}"/>
    <cellStyle name="Normal 4 2 2 3 2 2 2 4 3 2" xfId="14409" xr:uid="{3321EA1D-2E14-4F8A-9B11-7BCD7BEFDC3C}"/>
    <cellStyle name="Normal 4 2 2 3 2 2 2 4 4" xfId="10191" xr:uid="{1A775764-94F9-4BB0-ABD9-CA7E3F43EF04}"/>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2 2 2" xfId="16967" xr:uid="{ABA52862-D036-40AC-93EB-F4BC5E4B717D}"/>
    <cellStyle name="Normal 4 2 2 3 2 2 2 5 2 3" xfId="12749" xr:uid="{5362777E-65C5-49BD-A29B-8E53B51042A6}"/>
    <cellStyle name="Normal 4 2 2 3 2 2 2 5 3" xfId="6372" xr:uid="{00000000-0005-0000-0000-000006120000}"/>
    <cellStyle name="Normal 4 2 2 3 2 2 2 5 3 2" xfId="14822" xr:uid="{123E4A2F-0ED3-4D62-B0F0-A2FB69EF1A4B}"/>
    <cellStyle name="Normal 4 2 2 3 2 2 2 5 4" xfId="10604" xr:uid="{FD722B2B-D2EB-452F-8DF6-14925C65BA26}"/>
    <cellStyle name="Normal 4 2 2 3 2 2 2 6" xfId="2502" xr:uid="{00000000-0005-0000-0000-000007120000}"/>
    <cellStyle name="Normal 4 2 2 3 2 2 2 6 2" xfId="6785" xr:uid="{00000000-0005-0000-0000-000008120000}"/>
    <cellStyle name="Normal 4 2 2 3 2 2 2 6 2 2" xfId="15235" xr:uid="{D0113B58-44F9-4296-A77A-576C2EA78ED1}"/>
    <cellStyle name="Normal 4 2 2 3 2 2 2 6 3" xfId="11017" xr:uid="{2E3C0F72-E5E4-4C7E-8AAB-48FBCA51BADE}"/>
    <cellStyle name="Normal 4 2 2 3 2 2 2 7" xfId="4720" xr:uid="{00000000-0005-0000-0000-000009120000}"/>
    <cellStyle name="Normal 4 2 2 3 2 2 2 7 2" xfId="13170" xr:uid="{6329ABEF-A5C2-4A9C-BC99-8E4B2FEF18AA}"/>
    <cellStyle name="Normal 4 2 2 3 2 2 2 8" xfId="8952" xr:uid="{E202F14C-A9E8-44FB-B6C3-FCD35C9D64C7}"/>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2 2 2" xfId="15727" xr:uid="{1353F4EE-EBCC-4DD8-88A0-514A1B5799D1}"/>
    <cellStyle name="Normal 4 2 2 3 2 2 3 2 3" xfId="11509" xr:uid="{DF7E3E08-91A2-46EC-9D49-8EA3BDBA9C48}"/>
    <cellStyle name="Normal 4 2 2 3 2 2 3 3" xfId="5132" xr:uid="{00000000-0005-0000-0000-00000D120000}"/>
    <cellStyle name="Normal 4 2 2 3 2 2 3 3 2" xfId="13582" xr:uid="{DB56C8D6-E03A-486B-A6B3-9D96E55A9E69}"/>
    <cellStyle name="Normal 4 2 2 3 2 2 3 4" xfId="9364" xr:uid="{65369A5D-8631-48CD-A49F-247FDF54E6A1}"/>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2 2 2" xfId="16140" xr:uid="{7CFBFD7F-A640-4B00-84DA-AE66B0E974E9}"/>
    <cellStyle name="Normal 4 2 2 3 2 2 4 2 3" xfId="11922" xr:uid="{9716496B-98A9-48DC-8CFD-40C3973BA906}"/>
    <cellStyle name="Normal 4 2 2 3 2 2 4 3" xfId="5545" xr:uid="{00000000-0005-0000-0000-000011120000}"/>
    <cellStyle name="Normal 4 2 2 3 2 2 4 3 2" xfId="13995" xr:uid="{365720DB-0BB1-44C9-9946-36076B8E856D}"/>
    <cellStyle name="Normal 4 2 2 3 2 2 4 4" xfId="9777" xr:uid="{6AD170B6-52E1-44C6-879B-DE1C790FE089}"/>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2 2 2" xfId="16553" xr:uid="{5249F8E1-2EA3-425B-8E88-479DC53B2054}"/>
    <cellStyle name="Normal 4 2 2 3 2 2 5 2 3" xfId="12335" xr:uid="{51675E33-43EC-416E-BCE7-244F83093E4E}"/>
    <cellStyle name="Normal 4 2 2 3 2 2 5 3" xfId="5958" xr:uid="{00000000-0005-0000-0000-000015120000}"/>
    <cellStyle name="Normal 4 2 2 3 2 2 5 3 2" xfId="14408" xr:uid="{0D270011-6295-4114-B114-DD1107AF607A}"/>
    <cellStyle name="Normal 4 2 2 3 2 2 5 4" xfId="10190" xr:uid="{8E9FFE0B-A592-48F6-A5DB-8BDEE37674BB}"/>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2 2 2" xfId="16966" xr:uid="{A426395F-36F1-418A-BDF5-05EA574E2ADB}"/>
    <cellStyle name="Normal 4 2 2 3 2 2 6 2 3" xfId="12748" xr:uid="{4E9C8C22-324E-49E6-9984-27791959E0F2}"/>
    <cellStyle name="Normal 4 2 2 3 2 2 6 3" xfId="6371" xr:uid="{00000000-0005-0000-0000-000019120000}"/>
    <cellStyle name="Normal 4 2 2 3 2 2 6 3 2" xfId="14821" xr:uid="{5CAAA87C-9C20-4A74-8D43-2AE6DEF65DD4}"/>
    <cellStyle name="Normal 4 2 2 3 2 2 6 4" xfId="10603" xr:uid="{6D146F31-3085-4961-BD62-CAF80CDC6489}"/>
    <cellStyle name="Normal 4 2 2 3 2 2 7" xfId="2501" xr:uid="{00000000-0005-0000-0000-00001A120000}"/>
    <cellStyle name="Normal 4 2 2 3 2 2 7 2" xfId="6784" xr:uid="{00000000-0005-0000-0000-00001B120000}"/>
    <cellStyle name="Normal 4 2 2 3 2 2 7 2 2" xfId="15234" xr:uid="{1A9295D0-8D3A-4A9F-8C0D-12EA7A44517F}"/>
    <cellStyle name="Normal 4 2 2 3 2 2 7 3" xfId="11016" xr:uid="{E26DE3C4-822B-48B7-8306-01E26CA1B4BC}"/>
    <cellStyle name="Normal 4 2 2 3 2 2 8" xfId="4719" xr:uid="{00000000-0005-0000-0000-00001C120000}"/>
    <cellStyle name="Normal 4 2 2 3 2 2 8 2" xfId="13169" xr:uid="{66C649ED-ECBE-4CD7-9F4B-1B808289FFFA}"/>
    <cellStyle name="Normal 4 2 2 3 2 2 9" xfId="8951" xr:uid="{A6868342-380B-43B8-BFAD-C28E36FE131E}"/>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2 2 2" xfId="15729" xr:uid="{F9B82971-54FF-4852-90B6-B62C2DCD9C7D}"/>
    <cellStyle name="Normal 4 2 2 3 2 3 2 2 3" xfId="11511" xr:uid="{78687F0E-6CE2-46BD-B3DC-C7CB0885F4A1}"/>
    <cellStyle name="Normal 4 2 2 3 2 3 2 3" xfId="5134" xr:uid="{00000000-0005-0000-0000-000021120000}"/>
    <cellStyle name="Normal 4 2 2 3 2 3 2 3 2" xfId="13584" xr:uid="{00ED5EC0-CEC8-4C9B-9FF0-23552762CAEE}"/>
    <cellStyle name="Normal 4 2 2 3 2 3 2 4" xfId="9366" xr:uid="{DBA570A1-79B8-4FE4-B9F9-C46CCC5D667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2 2 2" xfId="16142" xr:uid="{D51F2BA2-9BC9-4ADB-B140-8C04F3A25981}"/>
    <cellStyle name="Normal 4 2 2 3 2 3 3 2 3" xfId="11924" xr:uid="{52471C24-0B07-41A4-BBA2-2F99652F4D92}"/>
    <cellStyle name="Normal 4 2 2 3 2 3 3 3" xfId="5547" xr:uid="{00000000-0005-0000-0000-000025120000}"/>
    <cellStyle name="Normal 4 2 2 3 2 3 3 3 2" xfId="13997" xr:uid="{43D96654-454D-46FE-9EBA-842A9128550F}"/>
    <cellStyle name="Normal 4 2 2 3 2 3 3 4" xfId="9779" xr:uid="{804DD501-A9A5-478E-BA39-C90B990560E5}"/>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2 2 2" xfId="16555" xr:uid="{80984E81-F5F2-458E-B420-AA84B6131D62}"/>
    <cellStyle name="Normal 4 2 2 3 2 3 4 2 3" xfId="12337" xr:uid="{73B49F6F-F9CF-48C5-A00A-573749478EA9}"/>
    <cellStyle name="Normal 4 2 2 3 2 3 4 3" xfId="5960" xr:uid="{00000000-0005-0000-0000-000029120000}"/>
    <cellStyle name="Normal 4 2 2 3 2 3 4 3 2" xfId="14410" xr:uid="{E7E88E70-8A58-4420-81E0-DD1979588CEA}"/>
    <cellStyle name="Normal 4 2 2 3 2 3 4 4" xfId="10192" xr:uid="{C6CA11B7-EDE9-4FEC-B936-E5A5B5E53A3F}"/>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2 2 2" xfId="16968" xr:uid="{87C672AC-744C-4A3A-9C66-D8979136406D}"/>
    <cellStyle name="Normal 4 2 2 3 2 3 5 2 3" xfId="12750" xr:uid="{9B8FA5DC-4A43-47A9-8ACC-50029248C40E}"/>
    <cellStyle name="Normal 4 2 2 3 2 3 5 3" xfId="6373" xr:uid="{00000000-0005-0000-0000-00002D120000}"/>
    <cellStyle name="Normal 4 2 2 3 2 3 5 3 2" xfId="14823" xr:uid="{9ADF682A-7BB9-4C70-975F-BD9E6AC26E74}"/>
    <cellStyle name="Normal 4 2 2 3 2 3 5 4" xfId="10605" xr:uid="{193DBD73-3D8E-407A-939E-A9B2144181A6}"/>
    <cellStyle name="Normal 4 2 2 3 2 3 6" xfId="2503" xr:uid="{00000000-0005-0000-0000-00002E120000}"/>
    <cellStyle name="Normal 4 2 2 3 2 3 6 2" xfId="6786" xr:uid="{00000000-0005-0000-0000-00002F120000}"/>
    <cellStyle name="Normal 4 2 2 3 2 3 6 2 2" xfId="15236" xr:uid="{C46FE847-6B3D-4FC8-881B-A57F796AE8C0}"/>
    <cellStyle name="Normal 4 2 2 3 2 3 6 3" xfId="11018" xr:uid="{FB33A6CB-53EB-48B2-AF70-69DF3A79A01D}"/>
    <cellStyle name="Normal 4 2 2 3 2 3 7" xfId="4721" xr:uid="{00000000-0005-0000-0000-000030120000}"/>
    <cellStyle name="Normal 4 2 2 3 2 3 7 2" xfId="13171" xr:uid="{E495F9E5-B892-49D7-BD6B-539A1572C548}"/>
    <cellStyle name="Normal 4 2 2 3 2 3 8" xfId="8953" xr:uid="{A66A3270-44BE-4510-80F7-A95FBA078BCB}"/>
    <cellStyle name="Normal 4 2 2 3 2 4" xfId="817" xr:uid="{00000000-0005-0000-0000-000031120000}"/>
    <cellStyle name="Normal 4 2 2 3 2 4 2" xfId="3054" xr:uid="{00000000-0005-0000-0000-000032120000}"/>
    <cellStyle name="Normal 4 2 2 3 2 4 2 2" xfId="7276" xr:uid="{00000000-0005-0000-0000-000033120000}"/>
    <cellStyle name="Normal 4 2 2 3 2 4 2 2 2" xfId="15726" xr:uid="{304A00B0-54B5-4E08-B7A2-29C9098367A9}"/>
    <cellStyle name="Normal 4 2 2 3 2 4 2 3" xfId="11508" xr:uid="{7324A146-F514-4CA4-9DC8-4ABF817C5A35}"/>
    <cellStyle name="Normal 4 2 2 3 2 4 3" xfId="5131" xr:uid="{00000000-0005-0000-0000-000034120000}"/>
    <cellStyle name="Normal 4 2 2 3 2 4 3 2" xfId="13581" xr:uid="{FEE022FD-21EC-4086-818A-EF40FEEC976D}"/>
    <cellStyle name="Normal 4 2 2 3 2 4 4" xfId="9363" xr:uid="{517D6F19-F163-49BD-9126-3B280846E0F7}"/>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2 2 2" xfId="16139" xr:uid="{35220C96-1D8B-44F7-872B-C12820464E7B}"/>
    <cellStyle name="Normal 4 2 2 3 2 5 2 3" xfId="11921" xr:uid="{18866FD2-8EF0-4AC1-8151-8B8D53D311EA}"/>
    <cellStyle name="Normal 4 2 2 3 2 5 3" xfId="5544" xr:uid="{00000000-0005-0000-0000-000038120000}"/>
    <cellStyle name="Normal 4 2 2 3 2 5 3 2" xfId="13994" xr:uid="{9A90FF7A-D342-4053-BC73-662D59EFBF4B}"/>
    <cellStyle name="Normal 4 2 2 3 2 5 4" xfId="9776" xr:uid="{2998A03F-7F33-4D93-94C0-5598E3AB5D09}"/>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2 2 2" xfId="16552" xr:uid="{69A4E7A2-5F5D-4221-B9B9-D9B05BC834E1}"/>
    <cellStyle name="Normal 4 2 2 3 2 6 2 3" xfId="12334" xr:uid="{6BD9C47D-2BE5-4E5A-B8AA-4E39AD8044ED}"/>
    <cellStyle name="Normal 4 2 2 3 2 6 3" xfId="5957" xr:uid="{00000000-0005-0000-0000-00003C120000}"/>
    <cellStyle name="Normal 4 2 2 3 2 6 3 2" xfId="14407" xr:uid="{D040D8C0-8276-430E-8C50-20B363A9A87F}"/>
    <cellStyle name="Normal 4 2 2 3 2 6 4" xfId="10189" xr:uid="{9940C73B-7C71-4FD4-8FDB-AA831DDFA794}"/>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2 2 2" xfId="16965" xr:uid="{9977DED4-0EB3-4A2C-A408-4695760C2357}"/>
    <cellStyle name="Normal 4 2 2 3 2 7 2 3" xfId="12747" xr:uid="{E0A66CAC-065A-4596-8A3E-113332198346}"/>
    <cellStyle name="Normal 4 2 2 3 2 7 3" xfId="6370" xr:uid="{00000000-0005-0000-0000-000040120000}"/>
    <cellStyle name="Normal 4 2 2 3 2 7 3 2" xfId="14820" xr:uid="{C35DC314-85D1-4941-B9BF-0CBEA32DAE24}"/>
    <cellStyle name="Normal 4 2 2 3 2 7 4" xfId="10602" xr:uid="{11904D66-7AFB-48F0-B71C-DB51D543CC93}"/>
    <cellStyle name="Normal 4 2 2 3 2 8" xfId="2500" xr:uid="{00000000-0005-0000-0000-000041120000}"/>
    <cellStyle name="Normal 4 2 2 3 2 8 2" xfId="6783" xr:uid="{00000000-0005-0000-0000-000042120000}"/>
    <cellStyle name="Normal 4 2 2 3 2 8 2 2" xfId="15233" xr:uid="{17DFAFE3-295A-42A8-A267-1FFA4E58066B}"/>
    <cellStyle name="Normal 4 2 2 3 2 8 3" xfId="11015" xr:uid="{6FA4047B-A33D-4935-AACE-31318A649BF9}"/>
    <cellStyle name="Normal 4 2 2 3 2 9" xfId="4718" xr:uid="{00000000-0005-0000-0000-000043120000}"/>
    <cellStyle name="Normal 4 2 2 3 2 9 2" xfId="13168" xr:uid="{A6F4413C-44B8-451C-82AE-D1DA93144173}"/>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2 2 2" xfId="15731" xr:uid="{2247BC99-B5B1-4050-8943-99216A38C1D4}"/>
    <cellStyle name="Normal 4 2 2 3 3 2 2 2 3" xfId="11513" xr:uid="{FFEA8990-C0E0-4BAD-B901-C14E6FE1BAED}"/>
    <cellStyle name="Normal 4 2 2 3 3 2 2 3" xfId="5136" xr:uid="{00000000-0005-0000-0000-000049120000}"/>
    <cellStyle name="Normal 4 2 2 3 3 2 2 3 2" xfId="13586" xr:uid="{C247A53A-16CD-4D74-8999-D6D03F7650C2}"/>
    <cellStyle name="Normal 4 2 2 3 3 2 2 4" xfId="9368" xr:uid="{2104E88E-7A3D-4C42-9F23-497D1EF26F6F}"/>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2 2 2" xfId="16144" xr:uid="{92D66D80-9185-40BA-9E4E-22A072E6E5CE}"/>
    <cellStyle name="Normal 4 2 2 3 3 2 3 2 3" xfId="11926" xr:uid="{422A984C-5D16-4307-AA61-A1821EE52026}"/>
    <cellStyle name="Normal 4 2 2 3 3 2 3 3" xfId="5549" xr:uid="{00000000-0005-0000-0000-00004D120000}"/>
    <cellStyle name="Normal 4 2 2 3 3 2 3 3 2" xfId="13999" xr:uid="{7EFA1465-A6C9-4A61-A292-27C59DD85063}"/>
    <cellStyle name="Normal 4 2 2 3 3 2 3 4" xfId="9781" xr:uid="{16FFA199-B8D0-4DA4-82C6-29D98CA833E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2 2 2" xfId="16557" xr:uid="{0F76EE1B-1B31-4883-A65C-9583502E97B8}"/>
    <cellStyle name="Normal 4 2 2 3 3 2 4 2 3" xfId="12339" xr:uid="{34EEE649-FD0F-4A84-8E19-BA83D1B7429B}"/>
    <cellStyle name="Normal 4 2 2 3 3 2 4 3" xfId="5962" xr:uid="{00000000-0005-0000-0000-000051120000}"/>
    <cellStyle name="Normal 4 2 2 3 3 2 4 3 2" xfId="14412" xr:uid="{E9E779F5-4DC7-43A7-AFD3-FA2B2229ADDC}"/>
    <cellStyle name="Normal 4 2 2 3 3 2 4 4" xfId="10194" xr:uid="{3235C0FE-976F-4D42-8804-281E82BB7893}"/>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2 2 2" xfId="16970" xr:uid="{EFB974FC-CF2C-4CCA-80E4-49154DF07CB4}"/>
    <cellStyle name="Normal 4 2 2 3 3 2 5 2 3" xfId="12752" xr:uid="{13CFC257-E2FA-476E-BAB7-621E6FA5009D}"/>
    <cellStyle name="Normal 4 2 2 3 3 2 5 3" xfId="6375" xr:uid="{00000000-0005-0000-0000-000055120000}"/>
    <cellStyle name="Normal 4 2 2 3 3 2 5 3 2" xfId="14825" xr:uid="{AC704A6C-9D00-44AD-9925-180684445D96}"/>
    <cellStyle name="Normal 4 2 2 3 3 2 5 4" xfId="10607" xr:uid="{61F74689-952A-4935-B886-3FB8BFD0127D}"/>
    <cellStyle name="Normal 4 2 2 3 3 2 6" xfId="2505" xr:uid="{00000000-0005-0000-0000-000056120000}"/>
    <cellStyle name="Normal 4 2 2 3 3 2 6 2" xfId="6788" xr:uid="{00000000-0005-0000-0000-000057120000}"/>
    <cellStyle name="Normal 4 2 2 3 3 2 6 2 2" xfId="15238" xr:uid="{0742BA60-A594-4ED9-905C-43DB2C581C50}"/>
    <cellStyle name="Normal 4 2 2 3 3 2 6 3" xfId="11020" xr:uid="{C8AB0221-C418-4857-852E-B8A3990634CE}"/>
    <cellStyle name="Normal 4 2 2 3 3 2 7" xfId="4723" xr:uid="{00000000-0005-0000-0000-000058120000}"/>
    <cellStyle name="Normal 4 2 2 3 3 2 7 2" xfId="13173" xr:uid="{4C34B23F-4AF2-44C3-AC0E-074488E7944C}"/>
    <cellStyle name="Normal 4 2 2 3 3 2 8" xfId="8955" xr:uid="{DBA9EE28-60BB-4739-B5C8-10542AEA2FFA}"/>
    <cellStyle name="Normal 4 2 2 3 3 3" xfId="821" xr:uid="{00000000-0005-0000-0000-000059120000}"/>
    <cellStyle name="Normal 4 2 2 3 3 3 2" xfId="3058" xr:uid="{00000000-0005-0000-0000-00005A120000}"/>
    <cellStyle name="Normal 4 2 2 3 3 3 2 2" xfId="7280" xr:uid="{00000000-0005-0000-0000-00005B120000}"/>
    <cellStyle name="Normal 4 2 2 3 3 3 2 2 2" xfId="15730" xr:uid="{B29E7895-C5D8-454E-8DF6-3BBB854F6BED}"/>
    <cellStyle name="Normal 4 2 2 3 3 3 2 3" xfId="11512" xr:uid="{FD228B5C-A599-45B7-BFF1-8039EBDD218F}"/>
    <cellStyle name="Normal 4 2 2 3 3 3 3" xfId="5135" xr:uid="{00000000-0005-0000-0000-00005C120000}"/>
    <cellStyle name="Normal 4 2 2 3 3 3 3 2" xfId="13585" xr:uid="{B4EAF3F6-D907-4DFA-A811-615F061EB7A8}"/>
    <cellStyle name="Normal 4 2 2 3 3 3 4" xfId="9367" xr:uid="{71F82E6E-93EE-4412-A308-6B5E4FF8C9BA}"/>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2 2 2" xfId="16143" xr:uid="{929A88FC-B644-4620-A2EB-409AD6FE2B34}"/>
    <cellStyle name="Normal 4 2 2 3 3 4 2 3" xfId="11925" xr:uid="{5734D022-37F8-4510-A6F9-B554A9CE5D37}"/>
    <cellStyle name="Normal 4 2 2 3 3 4 3" xfId="5548" xr:uid="{00000000-0005-0000-0000-000060120000}"/>
    <cellStyle name="Normal 4 2 2 3 3 4 3 2" xfId="13998" xr:uid="{98ABD29D-C6A1-4591-9871-ED680BFA0267}"/>
    <cellStyle name="Normal 4 2 2 3 3 4 4" xfId="9780" xr:uid="{71176851-CC13-479B-BC23-84015BA4F359}"/>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2 2 2" xfId="16556" xr:uid="{4D827866-9EFC-4A79-91EB-1C0B43F222C0}"/>
    <cellStyle name="Normal 4 2 2 3 3 5 2 3" xfId="12338" xr:uid="{8E77FB16-45EE-4D1D-95EE-0DE36B5E04CF}"/>
    <cellStyle name="Normal 4 2 2 3 3 5 3" xfId="5961" xr:uid="{00000000-0005-0000-0000-000064120000}"/>
    <cellStyle name="Normal 4 2 2 3 3 5 3 2" xfId="14411" xr:uid="{F98BDB14-CC01-442B-9EC0-0F12F2B6384C}"/>
    <cellStyle name="Normal 4 2 2 3 3 5 4" xfId="10193" xr:uid="{11DC6FA2-D837-4F8E-9CFB-C5827461D7A6}"/>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2 2 2" xfId="16969" xr:uid="{9EA80858-5ECB-4B3D-8B48-4C476C0BD65E}"/>
    <cellStyle name="Normal 4 2 2 3 3 6 2 3" xfId="12751" xr:uid="{89007A4A-4CB9-4E9D-AF1F-9FE3224CC460}"/>
    <cellStyle name="Normal 4 2 2 3 3 6 3" xfId="6374" xr:uid="{00000000-0005-0000-0000-000068120000}"/>
    <cellStyle name="Normal 4 2 2 3 3 6 3 2" xfId="14824" xr:uid="{C3D0C6B9-64E5-45CA-91CE-1C9808FD7137}"/>
    <cellStyle name="Normal 4 2 2 3 3 6 4" xfId="10606" xr:uid="{F1FB4DB2-37ED-4C92-A057-D8205DE836B3}"/>
    <cellStyle name="Normal 4 2 2 3 3 7" xfId="2504" xr:uid="{00000000-0005-0000-0000-000069120000}"/>
    <cellStyle name="Normal 4 2 2 3 3 7 2" xfId="6787" xr:uid="{00000000-0005-0000-0000-00006A120000}"/>
    <cellStyle name="Normal 4 2 2 3 3 7 2 2" xfId="15237" xr:uid="{04815082-DA10-4C40-8A16-8A24DFF90420}"/>
    <cellStyle name="Normal 4 2 2 3 3 7 3" xfId="11019" xr:uid="{F5F7BE06-D64C-4A20-8318-FA7E432EBCEE}"/>
    <cellStyle name="Normal 4 2 2 3 3 8" xfId="4722" xr:uid="{00000000-0005-0000-0000-00006B120000}"/>
    <cellStyle name="Normal 4 2 2 3 3 8 2" xfId="13172" xr:uid="{DC3B848B-BA59-4837-835F-6F95D0113338}"/>
    <cellStyle name="Normal 4 2 2 3 3 9" xfId="8954" xr:uid="{5734E068-44ED-4FDE-8D6C-11C0A8BA374F}"/>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2 2 2" xfId="15732" xr:uid="{AB7522D8-6EEA-4442-8A5F-8AE8B3D201CB}"/>
    <cellStyle name="Normal 4 2 2 3 4 2 2 3" xfId="11514" xr:uid="{29134725-E5B7-481C-A6FF-C180EC3BDA0B}"/>
    <cellStyle name="Normal 4 2 2 3 4 2 3" xfId="5137" xr:uid="{00000000-0005-0000-0000-000070120000}"/>
    <cellStyle name="Normal 4 2 2 3 4 2 3 2" xfId="13587" xr:uid="{65E1227B-38A6-4C70-9FCB-D8C0D110CE39}"/>
    <cellStyle name="Normal 4 2 2 3 4 2 4" xfId="9369" xr:uid="{3E73F96E-2F9D-4B63-B0A4-5F5F5C31A62A}"/>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2 2 2" xfId="16145" xr:uid="{F07332BC-5ADA-4DF2-B88C-83AD6CCE3F6F}"/>
    <cellStyle name="Normal 4 2 2 3 4 3 2 3" xfId="11927" xr:uid="{66E1F24F-764F-461D-8D17-B1F0CE105A76}"/>
    <cellStyle name="Normal 4 2 2 3 4 3 3" xfId="5550" xr:uid="{00000000-0005-0000-0000-000074120000}"/>
    <cellStyle name="Normal 4 2 2 3 4 3 3 2" xfId="14000" xr:uid="{88ACA690-E6C4-42A8-BAA2-3613B148A48C}"/>
    <cellStyle name="Normal 4 2 2 3 4 3 4" xfId="9782" xr:uid="{2BCB015F-6C05-4CA9-B4EB-AF8ED9D77F61}"/>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2 2 2" xfId="16558" xr:uid="{9AB59105-7095-48E1-A389-304F96CF0F6E}"/>
    <cellStyle name="Normal 4 2 2 3 4 4 2 3" xfId="12340" xr:uid="{3560D13A-4AD6-4405-AC1F-1256A4C26BCA}"/>
    <cellStyle name="Normal 4 2 2 3 4 4 3" xfId="5963" xr:uid="{00000000-0005-0000-0000-000078120000}"/>
    <cellStyle name="Normal 4 2 2 3 4 4 3 2" xfId="14413" xr:uid="{800B97D0-BC05-4406-BC1D-A88E747F21E6}"/>
    <cellStyle name="Normal 4 2 2 3 4 4 4" xfId="10195" xr:uid="{32885F3E-B326-4772-B15D-D1EDAC006813}"/>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2 2 2" xfId="16971" xr:uid="{0C421871-ADB8-4246-AED6-EB0F841FFC1E}"/>
    <cellStyle name="Normal 4 2 2 3 4 5 2 3" xfId="12753" xr:uid="{B7F3AE21-E020-42E2-A662-4E5F6B89ABED}"/>
    <cellStyle name="Normal 4 2 2 3 4 5 3" xfId="6376" xr:uid="{00000000-0005-0000-0000-00007C120000}"/>
    <cellStyle name="Normal 4 2 2 3 4 5 3 2" xfId="14826" xr:uid="{C30277BF-B132-4516-A358-DF750FE21CCE}"/>
    <cellStyle name="Normal 4 2 2 3 4 5 4" xfId="10608" xr:uid="{9227F61E-60EA-4C56-ADBC-4920D7ACF56D}"/>
    <cellStyle name="Normal 4 2 2 3 4 6" xfId="2506" xr:uid="{00000000-0005-0000-0000-00007D120000}"/>
    <cellStyle name="Normal 4 2 2 3 4 6 2" xfId="6789" xr:uid="{00000000-0005-0000-0000-00007E120000}"/>
    <cellStyle name="Normal 4 2 2 3 4 6 2 2" xfId="15239" xr:uid="{35E4619F-0C6D-4ADA-97C8-2430EED2D4A3}"/>
    <cellStyle name="Normal 4 2 2 3 4 6 3" xfId="11021" xr:uid="{D0EECF3C-663A-4BD4-8685-1369D625777E}"/>
    <cellStyle name="Normal 4 2 2 3 4 7" xfId="4724" xr:uid="{00000000-0005-0000-0000-00007F120000}"/>
    <cellStyle name="Normal 4 2 2 3 4 7 2" xfId="13174" xr:uid="{19513231-2E4C-4C37-8356-64E334C17BE1}"/>
    <cellStyle name="Normal 4 2 2 3 4 8" xfId="8956" xr:uid="{BC26030E-DB3B-4F90-9C65-7DFD89B519E5}"/>
    <cellStyle name="Normal 4 2 2 3 5" xfId="816" xr:uid="{00000000-0005-0000-0000-000080120000}"/>
    <cellStyle name="Normal 4 2 2 3 5 2" xfId="3053" xr:uid="{00000000-0005-0000-0000-000081120000}"/>
    <cellStyle name="Normal 4 2 2 3 5 2 2" xfId="7275" xr:uid="{00000000-0005-0000-0000-000082120000}"/>
    <cellStyle name="Normal 4 2 2 3 5 2 2 2" xfId="15725" xr:uid="{C16B6637-2109-41F9-9171-DCB3E564C4D3}"/>
    <cellStyle name="Normal 4 2 2 3 5 2 3" xfId="11507" xr:uid="{F0F557D1-05DF-4849-9278-6BE317105629}"/>
    <cellStyle name="Normal 4 2 2 3 5 3" xfId="5130" xr:uid="{00000000-0005-0000-0000-000083120000}"/>
    <cellStyle name="Normal 4 2 2 3 5 3 2" xfId="13580" xr:uid="{CA0B2EA2-FDFD-44F5-AA4B-A1BFD2AC774F}"/>
    <cellStyle name="Normal 4 2 2 3 5 4" xfId="9362" xr:uid="{9B5408A2-F00B-4E4A-8601-53AF87F75C9B}"/>
    <cellStyle name="Normal 4 2 2 3 6" xfId="1236" xr:uid="{00000000-0005-0000-0000-000084120000}"/>
    <cellStyle name="Normal 4 2 2 3 6 2" xfId="3466" xr:uid="{00000000-0005-0000-0000-000085120000}"/>
    <cellStyle name="Normal 4 2 2 3 6 2 2" xfId="7688" xr:uid="{00000000-0005-0000-0000-000086120000}"/>
    <cellStyle name="Normal 4 2 2 3 6 2 2 2" xfId="16138" xr:uid="{F21941DA-6E68-4451-AA71-EC9699E2BBC0}"/>
    <cellStyle name="Normal 4 2 2 3 6 2 3" xfId="11920" xr:uid="{4D492468-B17A-4672-A13E-B7A5A8ECF56C}"/>
    <cellStyle name="Normal 4 2 2 3 6 3" xfId="5543" xr:uid="{00000000-0005-0000-0000-000087120000}"/>
    <cellStyle name="Normal 4 2 2 3 6 3 2" xfId="13993" xr:uid="{0E636717-DEF1-4CA3-B121-BF9520464363}"/>
    <cellStyle name="Normal 4 2 2 3 6 4" xfId="9775" xr:uid="{AB900DE4-E30D-4ED7-9555-291F980F8365}"/>
    <cellStyle name="Normal 4 2 2 3 7" xfId="1649" xr:uid="{00000000-0005-0000-0000-000088120000}"/>
    <cellStyle name="Normal 4 2 2 3 7 2" xfId="3879" xr:uid="{00000000-0005-0000-0000-000089120000}"/>
    <cellStyle name="Normal 4 2 2 3 7 2 2" xfId="8101" xr:uid="{00000000-0005-0000-0000-00008A120000}"/>
    <cellStyle name="Normal 4 2 2 3 7 2 2 2" xfId="16551" xr:uid="{EAFD3ED5-8E08-40EF-9F7E-B0A5815B29EE}"/>
    <cellStyle name="Normal 4 2 2 3 7 2 3" xfId="12333" xr:uid="{CFEE8FD0-7B39-462F-9C75-B00EE1F45829}"/>
    <cellStyle name="Normal 4 2 2 3 7 3" xfId="5956" xr:uid="{00000000-0005-0000-0000-00008B120000}"/>
    <cellStyle name="Normal 4 2 2 3 7 3 2" xfId="14406" xr:uid="{71703F45-43CE-4ED8-8B7E-8504C2654864}"/>
    <cellStyle name="Normal 4 2 2 3 7 4" xfId="10188" xr:uid="{8FF24AEC-DF05-4B90-90DF-397905345F4C}"/>
    <cellStyle name="Normal 4 2 2 3 8" xfId="2063" xr:uid="{00000000-0005-0000-0000-00008C120000}"/>
    <cellStyle name="Normal 4 2 2 3 8 2" xfId="4292" xr:uid="{00000000-0005-0000-0000-00008D120000}"/>
    <cellStyle name="Normal 4 2 2 3 8 2 2" xfId="8514" xr:uid="{00000000-0005-0000-0000-00008E120000}"/>
    <cellStyle name="Normal 4 2 2 3 8 2 2 2" xfId="16964" xr:uid="{1590C354-0686-4A25-A747-0838885E6E89}"/>
    <cellStyle name="Normal 4 2 2 3 8 2 3" xfId="12746" xr:uid="{9CBE51FE-29A6-4EAC-BE7F-B90244AF90FA}"/>
    <cellStyle name="Normal 4 2 2 3 8 3" xfId="6369" xr:uid="{00000000-0005-0000-0000-00008F120000}"/>
    <cellStyle name="Normal 4 2 2 3 8 3 2" xfId="14819" xr:uid="{C0F85FA2-3274-43CC-9B6C-2F1BBE262BCF}"/>
    <cellStyle name="Normal 4 2 2 3 8 4" xfId="10601" xr:uid="{4E6E400F-0338-4446-843F-12A94C363322}"/>
    <cellStyle name="Normal 4 2 2 3 9" xfId="2499" xr:uid="{00000000-0005-0000-0000-000090120000}"/>
    <cellStyle name="Normal 4 2 2 3 9 2" xfId="6782" xr:uid="{00000000-0005-0000-0000-000091120000}"/>
    <cellStyle name="Normal 4 2 2 3 9 2 2" xfId="15232" xr:uid="{92BE59AC-804C-4370-9B78-A0256870A921}"/>
    <cellStyle name="Normal 4 2 2 3 9 3" xfId="11014" xr:uid="{49350656-80D1-4C98-8184-69B273046DA4}"/>
    <cellStyle name="Normal 4 2 2 4" xfId="347" xr:uid="{00000000-0005-0000-0000-000092120000}"/>
    <cellStyle name="Normal 4 2 2 4 10" xfId="8957" xr:uid="{4E7D92D5-8AE8-4E5D-BCB9-109DFBCE1394}"/>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2 2 2" xfId="15735" xr:uid="{07674457-613D-4F72-834A-DC1E155B30FA}"/>
    <cellStyle name="Normal 4 2 2 4 2 2 2 2 3" xfId="11517" xr:uid="{8E8ADA15-CADA-4046-8109-9332F182EBB0}"/>
    <cellStyle name="Normal 4 2 2 4 2 2 2 3" xfId="5140" xr:uid="{00000000-0005-0000-0000-000098120000}"/>
    <cellStyle name="Normal 4 2 2 4 2 2 2 3 2" xfId="13590" xr:uid="{83D4BC80-2CCF-4CFA-86C8-FB0998A1824F}"/>
    <cellStyle name="Normal 4 2 2 4 2 2 2 4" xfId="9372" xr:uid="{EF4F2547-1928-418D-9A43-EC0C303F5F13}"/>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2 2 2" xfId="16148" xr:uid="{43F4F61A-391A-46F9-93CF-17069049F7C9}"/>
    <cellStyle name="Normal 4 2 2 4 2 2 3 2 3" xfId="11930" xr:uid="{BC83750B-CB28-4459-97EF-247B649BE4D3}"/>
    <cellStyle name="Normal 4 2 2 4 2 2 3 3" xfId="5553" xr:uid="{00000000-0005-0000-0000-00009C120000}"/>
    <cellStyle name="Normal 4 2 2 4 2 2 3 3 2" xfId="14003" xr:uid="{345D4D97-173E-4E75-852D-F8694C4BFCFF}"/>
    <cellStyle name="Normal 4 2 2 4 2 2 3 4" xfId="9785" xr:uid="{9C570D0A-DCEF-4131-A095-3F60AA1EF014}"/>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2 2 2" xfId="16561" xr:uid="{FB471698-72D3-4E52-9CCF-BFA1F5559AD8}"/>
    <cellStyle name="Normal 4 2 2 4 2 2 4 2 3" xfId="12343" xr:uid="{DCACE429-EF0F-4B47-8918-E9408176B20B}"/>
    <cellStyle name="Normal 4 2 2 4 2 2 4 3" xfId="5966" xr:uid="{00000000-0005-0000-0000-0000A0120000}"/>
    <cellStyle name="Normal 4 2 2 4 2 2 4 3 2" xfId="14416" xr:uid="{97D3C40A-8DE9-4A05-8010-F30AA577C607}"/>
    <cellStyle name="Normal 4 2 2 4 2 2 4 4" xfId="10198" xr:uid="{01FA553D-43F1-4031-A879-16287E4D7055}"/>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2 2 2" xfId="16974" xr:uid="{62E445A4-F737-4EB7-913F-96A602ECA4C2}"/>
    <cellStyle name="Normal 4 2 2 4 2 2 5 2 3" xfId="12756" xr:uid="{0D364903-602F-43B7-9B7B-EFDC1BF3102F}"/>
    <cellStyle name="Normal 4 2 2 4 2 2 5 3" xfId="6379" xr:uid="{00000000-0005-0000-0000-0000A4120000}"/>
    <cellStyle name="Normal 4 2 2 4 2 2 5 3 2" xfId="14829" xr:uid="{C3D83A7E-85DA-46D6-BA1A-6DEBD1145F64}"/>
    <cellStyle name="Normal 4 2 2 4 2 2 5 4" xfId="10611" xr:uid="{9842AF1A-224F-41CA-8C9C-5C092BF33087}"/>
    <cellStyle name="Normal 4 2 2 4 2 2 6" xfId="2509" xr:uid="{00000000-0005-0000-0000-0000A5120000}"/>
    <cellStyle name="Normal 4 2 2 4 2 2 6 2" xfId="6792" xr:uid="{00000000-0005-0000-0000-0000A6120000}"/>
    <cellStyle name="Normal 4 2 2 4 2 2 6 2 2" xfId="15242" xr:uid="{40686407-84B8-44AB-9655-FB691D881C5F}"/>
    <cellStyle name="Normal 4 2 2 4 2 2 6 3" xfId="11024" xr:uid="{B5994A34-63BC-4F74-9440-FF3B4AFA61D0}"/>
    <cellStyle name="Normal 4 2 2 4 2 2 7" xfId="4727" xr:uid="{00000000-0005-0000-0000-0000A7120000}"/>
    <cellStyle name="Normal 4 2 2 4 2 2 7 2" xfId="13177" xr:uid="{98FFDD64-0DC0-4359-9A1E-87B5FFA3AB42}"/>
    <cellStyle name="Normal 4 2 2 4 2 2 8" xfId="8959" xr:uid="{54E11711-0763-4C9F-B47B-36E0416F1E41}"/>
    <cellStyle name="Normal 4 2 2 4 2 3" xfId="825" xr:uid="{00000000-0005-0000-0000-0000A8120000}"/>
    <cellStyle name="Normal 4 2 2 4 2 3 2" xfId="3062" xr:uid="{00000000-0005-0000-0000-0000A9120000}"/>
    <cellStyle name="Normal 4 2 2 4 2 3 2 2" xfId="7284" xr:uid="{00000000-0005-0000-0000-0000AA120000}"/>
    <cellStyle name="Normal 4 2 2 4 2 3 2 2 2" xfId="15734" xr:uid="{E0A89202-C8F7-4A82-9413-AE84377DBC5C}"/>
    <cellStyle name="Normal 4 2 2 4 2 3 2 3" xfId="11516" xr:uid="{E242D8A7-33CB-4418-8ADB-D87FD9E2C17E}"/>
    <cellStyle name="Normal 4 2 2 4 2 3 3" xfId="5139" xr:uid="{00000000-0005-0000-0000-0000AB120000}"/>
    <cellStyle name="Normal 4 2 2 4 2 3 3 2" xfId="13589" xr:uid="{EA6D26AA-6180-43E9-AE98-AFD4C056B1BA}"/>
    <cellStyle name="Normal 4 2 2 4 2 3 4" xfId="9371" xr:uid="{B429954A-DFAA-488B-A038-75BA433D1AA8}"/>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2 2 2" xfId="16147" xr:uid="{69B4F09C-1459-421D-8DF5-DE6C235D6879}"/>
    <cellStyle name="Normal 4 2 2 4 2 4 2 3" xfId="11929" xr:uid="{FDDC31D5-AD73-4295-8350-7E0564EE2FDB}"/>
    <cellStyle name="Normal 4 2 2 4 2 4 3" xfId="5552" xr:uid="{00000000-0005-0000-0000-0000AF120000}"/>
    <cellStyle name="Normal 4 2 2 4 2 4 3 2" xfId="14002" xr:uid="{591F1023-E9FC-42E1-8435-070283692A07}"/>
    <cellStyle name="Normal 4 2 2 4 2 4 4" xfId="9784" xr:uid="{9AA31386-B63E-4F20-835D-5797CE66EC38}"/>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2 2 2" xfId="16560" xr:uid="{F1A3C1AB-E2A7-408E-9865-7E5E0C1F160B}"/>
    <cellStyle name="Normal 4 2 2 4 2 5 2 3" xfId="12342" xr:uid="{A2220A19-F561-49FC-A6A2-17D83BF01E44}"/>
    <cellStyle name="Normal 4 2 2 4 2 5 3" xfId="5965" xr:uid="{00000000-0005-0000-0000-0000B3120000}"/>
    <cellStyle name="Normal 4 2 2 4 2 5 3 2" xfId="14415" xr:uid="{C788D957-5AE6-498F-8379-076219497411}"/>
    <cellStyle name="Normal 4 2 2 4 2 5 4" xfId="10197" xr:uid="{2871B032-4B94-4DE3-98B4-BC1E795E5B54}"/>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2 2 2" xfId="16973" xr:uid="{5F974189-80B2-4DE4-9647-83DC7A94BD47}"/>
    <cellStyle name="Normal 4 2 2 4 2 6 2 3" xfId="12755" xr:uid="{6298FAEE-C7A5-4F69-8F9D-4FD94A016819}"/>
    <cellStyle name="Normal 4 2 2 4 2 6 3" xfId="6378" xr:uid="{00000000-0005-0000-0000-0000B7120000}"/>
    <cellStyle name="Normal 4 2 2 4 2 6 3 2" xfId="14828" xr:uid="{5DD9D67F-56E3-40B8-B96C-10294B9B617B}"/>
    <cellStyle name="Normal 4 2 2 4 2 6 4" xfId="10610" xr:uid="{C452D3B9-4E0A-4B51-B13F-456A6F46D1DE}"/>
    <cellStyle name="Normal 4 2 2 4 2 7" xfId="2508" xr:uid="{00000000-0005-0000-0000-0000B8120000}"/>
    <cellStyle name="Normal 4 2 2 4 2 7 2" xfId="6791" xr:uid="{00000000-0005-0000-0000-0000B9120000}"/>
    <cellStyle name="Normal 4 2 2 4 2 7 2 2" xfId="15241" xr:uid="{72DC0208-3591-4391-9C9C-04A0AFFC3889}"/>
    <cellStyle name="Normal 4 2 2 4 2 7 3" xfId="11023" xr:uid="{A386D4AD-F75B-4CD7-AEA6-FCA16AAC3A47}"/>
    <cellStyle name="Normal 4 2 2 4 2 8" xfId="4726" xr:uid="{00000000-0005-0000-0000-0000BA120000}"/>
    <cellStyle name="Normal 4 2 2 4 2 8 2" xfId="13176" xr:uid="{F2ACE9B0-281A-4AB0-B6EF-BC542A3BC94C}"/>
    <cellStyle name="Normal 4 2 2 4 2 9" xfId="8958" xr:uid="{D2F695B8-EB13-492A-A6A5-830783DEB316}"/>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2 2 2" xfId="15736" xr:uid="{9F495BEE-BE42-41A1-A4C1-62C78DEC40A0}"/>
    <cellStyle name="Normal 4 2 2 4 3 2 2 3" xfId="11518" xr:uid="{973BDD9F-CAF6-46F9-886E-9C5E74785307}"/>
    <cellStyle name="Normal 4 2 2 4 3 2 3" xfId="5141" xr:uid="{00000000-0005-0000-0000-0000BF120000}"/>
    <cellStyle name="Normal 4 2 2 4 3 2 3 2" xfId="13591" xr:uid="{D1939BCB-ECA8-4DC8-946A-EBC51E08295B}"/>
    <cellStyle name="Normal 4 2 2 4 3 2 4" xfId="9373" xr:uid="{2FC13976-AFA2-4060-B47F-351655AD969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2 2 2" xfId="16149" xr:uid="{BBCECB56-6A40-4F64-BB8C-C28A0770735C}"/>
    <cellStyle name="Normal 4 2 2 4 3 3 2 3" xfId="11931" xr:uid="{9A2813DE-1600-40BA-BF8F-42E781214CCA}"/>
    <cellStyle name="Normal 4 2 2 4 3 3 3" xfId="5554" xr:uid="{00000000-0005-0000-0000-0000C3120000}"/>
    <cellStyle name="Normal 4 2 2 4 3 3 3 2" xfId="14004" xr:uid="{35B862E3-2807-4550-9574-3AB882948D53}"/>
    <cellStyle name="Normal 4 2 2 4 3 3 4" xfId="9786" xr:uid="{CA5FDAC9-26BF-4F7F-9070-8DC3C8986B71}"/>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2 2 2" xfId="16562" xr:uid="{D042C67B-C003-48F7-AD7A-1ADCCE3ED5FE}"/>
    <cellStyle name="Normal 4 2 2 4 3 4 2 3" xfId="12344" xr:uid="{1C2BDDFC-541A-4F06-A37F-411AE8B27311}"/>
    <cellStyle name="Normal 4 2 2 4 3 4 3" xfId="5967" xr:uid="{00000000-0005-0000-0000-0000C7120000}"/>
    <cellStyle name="Normal 4 2 2 4 3 4 3 2" xfId="14417" xr:uid="{AD5EE3A2-A710-4E63-B4C2-7F039407CBD7}"/>
    <cellStyle name="Normal 4 2 2 4 3 4 4" xfId="10199" xr:uid="{B57027AE-3418-409D-B3F8-FBC52048A44F}"/>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2 2 2" xfId="16975" xr:uid="{C0DB07AC-4027-4CAA-9F43-9EDCB08B4638}"/>
    <cellStyle name="Normal 4 2 2 4 3 5 2 3" xfId="12757" xr:uid="{5311B25F-8B97-4176-9305-19D6CE8F5917}"/>
    <cellStyle name="Normal 4 2 2 4 3 5 3" xfId="6380" xr:uid="{00000000-0005-0000-0000-0000CB120000}"/>
    <cellStyle name="Normal 4 2 2 4 3 5 3 2" xfId="14830" xr:uid="{78E83A6F-C7F2-41FF-9701-A76CAC0B76E2}"/>
    <cellStyle name="Normal 4 2 2 4 3 5 4" xfId="10612" xr:uid="{2F7338C2-8B37-494C-93AC-07C37E517284}"/>
    <cellStyle name="Normal 4 2 2 4 3 6" xfId="2510" xr:uid="{00000000-0005-0000-0000-0000CC120000}"/>
    <cellStyle name="Normal 4 2 2 4 3 6 2" xfId="6793" xr:uid="{00000000-0005-0000-0000-0000CD120000}"/>
    <cellStyle name="Normal 4 2 2 4 3 6 2 2" xfId="15243" xr:uid="{B0C0E821-50D1-4C61-955E-D9C097902EE9}"/>
    <cellStyle name="Normal 4 2 2 4 3 6 3" xfId="11025" xr:uid="{1075F586-781F-4234-AFAF-BC47BB3460C8}"/>
    <cellStyle name="Normal 4 2 2 4 3 7" xfId="4728" xr:uid="{00000000-0005-0000-0000-0000CE120000}"/>
    <cellStyle name="Normal 4 2 2 4 3 7 2" xfId="13178" xr:uid="{D96ADADF-5317-4EDD-AE40-065FDA30D671}"/>
    <cellStyle name="Normal 4 2 2 4 3 8" xfId="8960" xr:uid="{0FDD3243-849E-4972-A171-B400FE8388AC}"/>
    <cellStyle name="Normal 4 2 2 4 4" xfId="824" xr:uid="{00000000-0005-0000-0000-0000CF120000}"/>
    <cellStyle name="Normal 4 2 2 4 4 2" xfId="3061" xr:uid="{00000000-0005-0000-0000-0000D0120000}"/>
    <cellStyle name="Normal 4 2 2 4 4 2 2" xfId="7283" xr:uid="{00000000-0005-0000-0000-0000D1120000}"/>
    <cellStyle name="Normal 4 2 2 4 4 2 2 2" xfId="15733" xr:uid="{50CF4B0A-3997-4F6F-B8FA-1EA591D5D2DD}"/>
    <cellStyle name="Normal 4 2 2 4 4 2 3" xfId="11515" xr:uid="{BDC9A74D-70C2-492B-9277-7629E662A8EC}"/>
    <cellStyle name="Normal 4 2 2 4 4 3" xfId="5138" xr:uid="{00000000-0005-0000-0000-0000D2120000}"/>
    <cellStyle name="Normal 4 2 2 4 4 3 2" xfId="13588" xr:uid="{266E2D97-9FAE-49F5-AAC9-7F7EC26110EA}"/>
    <cellStyle name="Normal 4 2 2 4 4 4" xfId="9370" xr:uid="{6E64E20A-8D5E-4395-9743-D01894D47A96}"/>
    <cellStyle name="Normal 4 2 2 4 5" xfId="1244" xr:uid="{00000000-0005-0000-0000-0000D3120000}"/>
    <cellStyle name="Normal 4 2 2 4 5 2" xfId="3474" xr:uid="{00000000-0005-0000-0000-0000D4120000}"/>
    <cellStyle name="Normal 4 2 2 4 5 2 2" xfId="7696" xr:uid="{00000000-0005-0000-0000-0000D5120000}"/>
    <cellStyle name="Normal 4 2 2 4 5 2 2 2" xfId="16146" xr:uid="{C0A2619F-D48A-4190-8F8C-C881F08514FB}"/>
    <cellStyle name="Normal 4 2 2 4 5 2 3" xfId="11928" xr:uid="{6F262EF2-E685-4418-AF73-05988AAE629F}"/>
    <cellStyle name="Normal 4 2 2 4 5 3" xfId="5551" xr:uid="{00000000-0005-0000-0000-0000D6120000}"/>
    <cellStyle name="Normal 4 2 2 4 5 3 2" xfId="14001" xr:uid="{90B3A4C8-9C90-46DB-8150-743187617B43}"/>
    <cellStyle name="Normal 4 2 2 4 5 4" xfId="9783" xr:uid="{A89AE161-F1CB-4F2C-979B-43FC985C0AC3}"/>
    <cellStyle name="Normal 4 2 2 4 6" xfId="1657" xr:uid="{00000000-0005-0000-0000-0000D7120000}"/>
    <cellStyle name="Normal 4 2 2 4 6 2" xfId="3887" xr:uid="{00000000-0005-0000-0000-0000D8120000}"/>
    <cellStyle name="Normal 4 2 2 4 6 2 2" xfId="8109" xr:uid="{00000000-0005-0000-0000-0000D9120000}"/>
    <cellStyle name="Normal 4 2 2 4 6 2 2 2" xfId="16559" xr:uid="{69AFAE50-A43E-4CA8-B334-1CA29E7AB6BF}"/>
    <cellStyle name="Normal 4 2 2 4 6 2 3" xfId="12341" xr:uid="{988AFD39-4393-4563-A7EE-E3B19375A3B6}"/>
    <cellStyle name="Normal 4 2 2 4 6 3" xfId="5964" xr:uid="{00000000-0005-0000-0000-0000DA120000}"/>
    <cellStyle name="Normal 4 2 2 4 6 3 2" xfId="14414" xr:uid="{A7DFF1A0-24D5-42DD-AA87-D55BA09FA0D5}"/>
    <cellStyle name="Normal 4 2 2 4 6 4" xfId="10196" xr:uid="{ACF1E63E-24E5-4A0C-B95F-FD169FC8AC9E}"/>
    <cellStyle name="Normal 4 2 2 4 7" xfId="2071" xr:uid="{00000000-0005-0000-0000-0000DB120000}"/>
    <cellStyle name="Normal 4 2 2 4 7 2" xfId="4300" xr:uid="{00000000-0005-0000-0000-0000DC120000}"/>
    <cellStyle name="Normal 4 2 2 4 7 2 2" xfId="8522" xr:uid="{00000000-0005-0000-0000-0000DD120000}"/>
    <cellStyle name="Normal 4 2 2 4 7 2 2 2" xfId="16972" xr:uid="{426FDA63-75A1-4BC3-AC64-8AC4D8269390}"/>
    <cellStyle name="Normal 4 2 2 4 7 2 3" xfId="12754" xr:uid="{A17FB571-BFC4-4F68-A585-658FB01A7DBE}"/>
    <cellStyle name="Normal 4 2 2 4 7 3" xfId="6377" xr:uid="{00000000-0005-0000-0000-0000DE120000}"/>
    <cellStyle name="Normal 4 2 2 4 7 3 2" xfId="14827" xr:uid="{DC9CBB0A-8E2B-4286-842B-4893D6784CC4}"/>
    <cellStyle name="Normal 4 2 2 4 7 4" xfId="10609" xr:uid="{2DFF4F58-227D-42D6-9915-266E2CBEFD85}"/>
    <cellStyle name="Normal 4 2 2 4 8" xfId="2507" xr:uid="{00000000-0005-0000-0000-0000DF120000}"/>
    <cellStyle name="Normal 4 2 2 4 8 2" xfId="6790" xr:uid="{00000000-0005-0000-0000-0000E0120000}"/>
    <cellStyle name="Normal 4 2 2 4 8 2 2" xfId="15240" xr:uid="{184D1E00-C732-486C-A81F-6CCB0B46FE58}"/>
    <cellStyle name="Normal 4 2 2 4 8 3" xfId="11022" xr:uid="{EB92E08F-F60B-423B-A854-D680018857B6}"/>
    <cellStyle name="Normal 4 2 2 4 9" xfId="4725" xr:uid="{00000000-0005-0000-0000-0000E1120000}"/>
    <cellStyle name="Normal 4 2 2 4 9 2" xfId="13175" xr:uid="{B99FF793-4DF8-4C6D-9C9E-007F30DC5213}"/>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2 2 2" xfId="15738" xr:uid="{4E4199F6-AF45-4D03-B6CE-96E5A47092B2}"/>
    <cellStyle name="Normal 4 2 2 5 2 2 2 3" xfId="11520" xr:uid="{61613FEC-14CB-4EAD-8419-A51B63107639}"/>
    <cellStyle name="Normal 4 2 2 5 2 2 3" xfId="5143" xr:uid="{00000000-0005-0000-0000-0000E7120000}"/>
    <cellStyle name="Normal 4 2 2 5 2 2 3 2" xfId="13593" xr:uid="{5F1D2AC9-B349-4EC8-9934-B78B960B5679}"/>
    <cellStyle name="Normal 4 2 2 5 2 2 4" xfId="9375" xr:uid="{C1D90439-1911-4836-9080-BB6DE2013419}"/>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2 2 2" xfId="16151" xr:uid="{7AEC8843-78F6-4834-BD7D-1376A29F19D1}"/>
    <cellStyle name="Normal 4 2 2 5 2 3 2 3" xfId="11933" xr:uid="{62E8B5BD-CDEF-4399-ADA5-234D0B34994E}"/>
    <cellStyle name="Normal 4 2 2 5 2 3 3" xfId="5556" xr:uid="{00000000-0005-0000-0000-0000EB120000}"/>
    <cellStyle name="Normal 4 2 2 5 2 3 3 2" xfId="14006" xr:uid="{2F92554F-93AB-405F-B8FA-34FA2C586660}"/>
    <cellStyle name="Normal 4 2 2 5 2 3 4" xfId="9788" xr:uid="{EED71366-15B2-4554-83C1-A3FE1B4F392B}"/>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2 2 2" xfId="16564" xr:uid="{727CD023-591F-4417-A7B4-84E6A7FBE9CE}"/>
    <cellStyle name="Normal 4 2 2 5 2 4 2 3" xfId="12346" xr:uid="{88E7C403-7BD4-4FD8-A2FA-D9F536D767D1}"/>
    <cellStyle name="Normal 4 2 2 5 2 4 3" xfId="5969" xr:uid="{00000000-0005-0000-0000-0000EF120000}"/>
    <cellStyle name="Normal 4 2 2 5 2 4 3 2" xfId="14419" xr:uid="{098DFB67-41DD-412E-91A3-0392809958A3}"/>
    <cellStyle name="Normal 4 2 2 5 2 4 4" xfId="10201" xr:uid="{E13C0EF7-E8E2-455C-B0EC-C79BD06834DE}"/>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2 2 2" xfId="16977" xr:uid="{3750B343-5814-4959-8AA6-7461A6BA2C31}"/>
    <cellStyle name="Normal 4 2 2 5 2 5 2 3" xfId="12759" xr:uid="{6D836643-9608-41A9-BE29-4FA19AAFCCC8}"/>
    <cellStyle name="Normal 4 2 2 5 2 5 3" xfId="6382" xr:uid="{00000000-0005-0000-0000-0000F3120000}"/>
    <cellStyle name="Normal 4 2 2 5 2 5 3 2" xfId="14832" xr:uid="{AB44D350-510F-4F0E-BE47-5578D620F3B2}"/>
    <cellStyle name="Normal 4 2 2 5 2 5 4" xfId="10614" xr:uid="{E1297B5F-C119-4A63-97A4-C0C7EB94C028}"/>
    <cellStyle name="Normal 4 2 2 5 2 6" xfId="2512" xr:uid="{00000000-0005-0000-0000-0000F4120000}"/>
    <cellStyle name="Normal 4 2 2 5 2 6 2" xfId="6795" xr:uid="{00000000-0005-0000-0000-0000F5120000}"/>
    <cellStyle name="Normal 4 2 2 5 2 6 2 2" xfId="15245" xr:uid="{7099F817-C2C2-4C6F-A758-3A1B4F8115D8}"/>
    <cellStyle name="Normal 4 2 2 5 2 6 3" xfId="11027" xr:uid="{4FE0075A-5244-4500-8A58-83713EE243FD}"/>
    <cellStyle name="Normal 4 2 2 5 2 7" xfId="4730" xr:uid="{00000000-0005-0000-0000-0000F6120000}"/>
    <cellStyle name="Normal 4 2 2 5 2 7 2" xfId="13180" xr:uid="{4D2EB00E-E8CB-4E22-B95E-D54BD5C202BF}"/>
    <cellStyle name="Normal 4 2 2 5 2 8" xfId="8962" xr:uid="{EA1F6E82-D45B-4876-9AC3-20D8F21CB167}"/>
    <cellStyle name="Normal 4 2 2 5 3" xfId="828" xr:uid="{00000000-0005-0000-0000-0000F7120000}"/>
    <cellStyle name="Normal 4 2 2 5 3 2" xfId="3065" xr:uid="{00000000-0005-0000-0000-0000F8120000}"/>
    <cellStyle name="Normal 4 2 2 5 3 2 2" xfId="7287" xr:uid="{00000000-0005-0000-0000-0000F9120000}"/>
    <cellStyle name="Normal 4 2 2 5 3 2 2 2" xfId="15737" xr:uid="{41CA86D0-E09B-4887-8CF1-001F31A34E5C}"/>
    <cellStyle name="Normal 4 2 2 5 3 2 3" xfId="11519" xr:uid="{D3D5EC39-D168-4747-A382-D19DB795DDD4}"/>
    <cellStyle name="Normal 4 2 2 5 3 3" xfId="5142" xr:uid="{00000000-0005-0000-0000-0000FA120000}"/>
    <cellStyle name="Normal 4 2 2 5 3 3 2" xfId="13592" xr:uid="{C5E943B3-652B-4CF1-BFC2-495F1810AD6B}"/>
    <cellStyle name="Normal 4 2 2 5 3 4" xfId="9374" xr:uid="{4D024678-840F-4664-831E-AE834868FF65}"/>
    <cellStyle name="Normal 4 2 2 5 4" xfId="1248" xr:uid="{00000000-0005-0000-0000-0000FB120000}"/>
    <cellStyle name="Normal 4 2 2 5 4 2" xfId="3478" xr:uid="{00000000-0005-0000-0000-0000FC120000}"/>
    <cellStyle name="Normal 4 2 2 5 4 2 2" xfId="7700" xr:uid="{00000000-0005-0000-0000-0000FD120000}"/>
    <cellStyle name="Normal 4 2 2 5 4 2 2 2" xfId="16150" xr:uid="{EAA0B366-5572-451B-ADDF-51049421096E}"/>
    <cellStyle name="Normal 4 2 2 5 4 2 3" xfId="11932" xr:uid="{5A084D47-6F02-4C64-9E3B-B7B57DBEA8F5}"/>
    <cellStyle name="Normal 4 2 2 5 4 3" xfId="5555" xr:uid="{00000000-0005-0000-0000-0000FE120000}"/>
    <cellStyle name="Normal 4 2 2 5 4 3 2" xfId="14005" xr:uid="{0946060D-6BCA-44B6-AD03-23DF5825099D}"/>
    <cellStyle name="Normal 4 2 2 5 4 4" xfId="9787" xr:uid="{C5C93503-106E-43F1-9AF0-B6E920D2BE47}"/>
    <cellStyle name="Normal 4 2 2 5 5" xfId="1661" xr:uid="{00000000-0005-0000-0000-0000FF120000}"/>
    <cellStyle name="Normal 4 2 2 5 5 2" xfId="3891" xr:uid="{00000000-0005-0000-0000-000000130000}"/>
    <cellStyle name="Normal 4 2 2 5 5 2 2" xfId="8113" xr:uid="{00000000-0005-0000-0000-000001130000}"/>
    <cellStyle name="Normal 4 2 2 5 5 2 2 2" xfId="16563" xr:uid="{80327DF7-ADBE-45CE-B26C-5C2A940117AA}"/>
    <cellStyle name="Normal 4 2 2 5 5 2 3" xfId="12345" xr:uid="{10E79123-F82B-4255-ACA3-084463FC4A15}"/>
    <cellStyle name="Normal 4 2 2 5 5 3" xfId="5968" xr:uid="{00000000-0005-0000-0000-000002130000}"/>
    <cellStyle name="Normal 4 2 2 5 5 3 2" xfId="14418" xr:uid="{CEFD4A0A-5AF8-46B5-B85F-DB2F5220E35F}"/>
    <cellStyle name="Normal 4 2 2 5 5 4" xfId="10200" xr:uid="{94927BD5-D90A-43D9-9031-D59641DF395A}"/>
    <cellStyle name="Normal 4 2 2 5 6" xfId="2075" xr:uid="{00000000-0005-0000-0000-000003130000}"/>
    <cellStyle name="Normal 4 2 2 5 6 2" xfId="4304" xr:uid="{00000000-0005-0000-0000-000004130000}"/>
    <cellStyle name="Normal 4 2 2 5 6 2 2" xfId="8526" xr:uid="{00000000-0005-0000-0000-000005130000}"/>
    <cellStyle name="Normal 4 2 2 5 6 2 2 2" xfId="16976" xr:uid="{17D71050-15A7-407D-AD63-FFA86EDE17EA}"/>
    <cellStyle name="Normal 4 2 2 5 6 2 3" xfId="12758" xr:uid="{A6D2F9EC-9062-4C70-8560-9087E4CBA93D}"/>
    <cellStyle name="Normal 4 2 2 5 6 3" xfId="6381" xr:uid="{00000000-0005-0000-0000-000006130000}"/>
    <cellStyle name="Normal 4 2 2 5 6 3 2" xfId="14831" xr:uid="{B6F99893-4F8A-4000-9236-013D84A14D33}"/>
    <cellStyle name="Normal 4 2 2 5 6 4" xfId="10613" xr:uid="{88E5DBBC-AC8F-4350-9658-C1298E674BED}"/>
    <cellStyle name="Normal 4 2 2 5 7" xfId="2511" xr:uid="{00000000-0005-0000-0000-000007130000}"/>
    <cellStyle name="Normal 4 2 2 5 7 2" xfId="6794" xr:uid="{00000000-0005-0000-0000-000008130000}"/>
    <cellStyle name="Normal 4 2 2 5 7 2 2" xfId="15244" xr:uid="{868D8D71-4F94-41EE-A0E9-B7503213A76C}"/>
    <cellStyle name="Normal 4 2 2 5 7 3" xfId="11026" xr:uid="{4AE7CA74-9C9A-4F49-B9F2-FC80F6C60554}"/>
    <cellStyle name="Normal 4 2 2 5 8" xfId="4729" xr:uid="{00000000-0005-0000-0000-000009130000}"/>
    <cellStyle name="Normal 4 2 2 5 8 2" xfId="13179" xr:uid="{E430493E-EEF8-4080-84CD-4F9C822D0ABD}"/>
    <cellStyle name="Normal 4 2 2 5 9" xfId="8961" xr:uid="{48168A7F-24BC-469D-A1C6-7DC3AC6D89F4}"/>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2 2 2" xfId="15739" xr:uid="{FDE42161-97B7-49B7-B177-60F7B21AB10E}"/>
    <cellStyle name="Normal 4 2 2 6 2 2 3" xfId="11521" xr:uid="{5136DD4E-265A-499D-A395-13F888860573}"/>
    <cellStyle name="Normal 4 2 2 6 2 3" xfId="5144" xr:uid="{00000000-0005-0000-0000-00000E130000}"/>
    <cellStyle name="Normal 4 2 2 6 2 3 2" xfId="13594" xr:uid="{4987B25E-7272-4A09-A579-7FFF6EF1DFF5}"/>
    <cellStyle name="Normal 4 2 2 6 2 4" xfId="9376" xr:uid="{86891E29-C35C-4D5C-AB50-6CE60BB689F0}"/>
    <cellStyle name="Normal 4 2 2 6 3" xfId="1250" xr:uid="{00000000-0005-0000-0000-00000F130000}"/>
    <cellStyle name="Normal 4 2 2 6 3 2" xfId="3480" xr:uid="{00000000-0005-0000-0000-000010130000}"/>
    <cellStyle name="Normal 4 2 2 6 3 2 2" xfId="7702" xr:uid="{00000000-0005-0000-0000-000011130000}"/>
    <cellStyle name="Normal 4 2 2 6 3 2 2 2" xfId="16152" xr:uid="{D695EBC8-DA11-48F5-99AB-BF93D69DD9B9}"/>
    <cellStyle name="Normal 4 2 2 6 3 2 3" xfId="11934" xr:uid="{AD785F4F-F2FD-4C45-8A24-A935BBD2BD01}"/>
    <cellStyle name="Normal 4 2 2 6 3 3" xfId="5557" xr:uid="{00000000-0005-0000-0000-000012130000}"/>
    <cellStyle name="Normal 4 2 2 6 3 3 2" xfId="14007" xr:uid="{BF2932FC-2034-422E-9363-2DB83C3FC99D}"/>
    <cellStyle name="Normal 4 2 2 6 3 4" xfId="9789" xr:uid="{4E2B40BE-916A-4F74-8B5B-55A9DA5FDB29}"/>
    <cellStyle name="Normal 4 2 2 6 4" xfId="1663" xr:uid="{00000000-0005-0000-0000-000013130000}"/>
    <cellStyle name="Normal 4 2 2 6 4 2" xfId="3893" xr:uid="{00000000-0005-0000-0000-000014130000}"/>
    <cellStyle name="Normal 4 2 2 6 4 2 2" xfId="8115" xr:uid="{00000000-0005-0000-0000-000015130000}"/>
    <cellStyle name="Normal 4 2 2 6 4 2 2 2" xfId="16565" xr:uid="{279F77AB-60DB-4499-8B3B-3F489963E7C0}"/>
    <cellStyle name="Normal 4 2 2 6 4 2 3" xfId="12347" xr:uid="{7E27E833-5CF8-4898-9428-A63F640AFEF9}"/>
    <cellStyle name="Normal 4 2 2 6 4 3" xfId="5970" xr:uid="{00000000-0005-0000-0000-000016130000}"/>
    <cellStyle name="Normal 4 2 2 6 4 3 2" xfId="14420" xr:uid="{EB428158-7281-44DF-AAB6-6174FB61531A}"/>
    <cellStyle name="Normal 4 2 2 6 4 4" xfId="10202" xr:uid="{3776AFB7-C854-4BA1-ACE0-352DFD1DC6B1}"/>
    <cellStyle name="Normal 4 2 2 6 5" xfId="2077" xr:uid="{00000000-0005-0000-0000-000017130000}"/>
    <cellStyle name="Normal 4 2 2 6 5 2" xfId="4306" xr:uid="{00000000-0005-0000-0000-000018130000}"/>
    <cellStyle name="Normal 4 2 2 6 5 2 2" xfId="8528" xr:uid="{00000000-0005-0000-0000-000019130000}"/>
    <cellStyle name="Normal 4 2 2 6 5 2 2 2" xfId="16978" xr:uid="{1240E8BE-25E3-484D-93E0-1DB6FB89CA9C}"/>
    <cellStyle name="Normal 4 2 2 6 5 2 3" xfId="12760" xr:uid="{6D8C47CC-DE6D-4E83-B2C5-71853D1DFE1D}"/>
    <cellStyle name="Normal 4 2 2 6 5 3" xfId="6383" xr:uid="{00000000-0005-0000-0000-00001A130000}"/>
    <cellStyle name="Normal 4 2 2 6 5 3 2" xfId="14833" xr:uid="{1B637601-7EAD-4932-AC6A-3F6C6764ADBA}"/>
    <cellStyle name="Normal 4 2 2 6 5 4" xfId="10615" xr:uid="{2C629563-C073-4F98-BCF7-8A617E38B3C8}"/>
    <cellStyle name="Normal 4 2 2 6 6" xfId="2513" xr:uid="{00000000-0005-0000-0000-00001B130000}"/>
    <cellStyle name="Normal 4 2 2 6 6 2" xfId="6796" xr:uid="{00000000-0005-0000-0000-00001C130000}"/>
    <cellStyle name="Normal 4 2 2 6 6 2 2" xfId="15246" xr:uid="{40B25BEB-1EE3-494F-8A5E-F6B87EC40EED}"/>
    <cellStyle name="Normal 4 2 2 6 6 3" xfId="11028" xr:uid="{4EF3131B-8713-4D8F-B018-E5FB29CD80C6}"/>
    <cellStyle name="Normal 4 2 2 6 7" xfId="4731" xr:uid="{00000000-0005-0000-0000-00001D130000}"/>
    <cellStyle name="Normal 4 2 2 6 7 2" xfId="13181" xr:uid="{B02AB996-9A7B-4928-A64A-7684E56142D6}"/>
    <cellStyle name="Normal 4 2 2 6 8" xfId="8963" xr:uid="{BCB5F329-F22C-4046-BD95-D14736EC6AD0}"/>
    <cellStyle name="Normal 4 2 2 7" xfId="815" xr:uid="{00000000-0005-0000-0000-00001E130000}"/>
    <cellStyle name="Normal 4 2 2 7 2" xfId="3052" xr:uid="{00000000-0005-0000-0000-00001F130000}"/>
    <cellStyle name="Normal 4 2 2 7 2 2" xfId="7274" xr:uid="{00000000-0005-0000-0000-000020130000}"/>
    <cellStyle name="Normal 4 2 2 7 2 2 2" xfId="15724" xr:uid="{2180C35B-3640-405C-9A0A-7F4A574764CF}"/>
    <cellStyle name="Normal 4 2 2 7 2 3" xfId="11506" xr:uid="{AD43B3D4-8F27-48CA-9653-70738F11DF5D}"/>
    <cellStyle name="Normal 4 2 2 7 3" xfId="5129" xr:uid="{00000000-0005-0000-0000-000021130000}"/>
    <cellStyle name="Normal 4 2 2 7 3 2" xfId="13579" xr:uid="{E975097E-F2EF-4508-A4CE-3D679EACF8F7}"/>
    <cellStyle name="Normal 4 2 2 7 4" xfId="9361" xr:uid="{47C9902B-967B-4BC0-BE0C-BA29D31E3FED}"/>
    <cellStyle name="Normal 4 2 2 8" xfId="1235" xr:uid="{00000000-0005-0000-0000-000022130000}"/>
    <cellStyle name="Normal 4 2 2 8 2" xfId="3465" xr:uid="{00000000-0005-0000-0000-000023130000}"/>
    <cellStyle name="Normal 4 2 2 8 2 2" xfId="7687" xr:uid="{00000000-0005-0000-0000-000024130000}"/>
    <cellStyle name="Normal 4 2 2 8 2 2 2" xfId="16137" xr:uid="{8495B1A9-F967-4235-B249-F9E73E544978}"/>
    <cellStyle name="Normal 4 2 2 8 2 3" xfId="11919" xr:uid="{03B0E360-30A0-4351-97A4-398ED179B019}"/>
    <cellStyle name="Normal 4 2 2 8 3" xfId="5542" xr:uid="{00000000-0005-0000-0000-000025130000}"/>
    <cellStyle name="Normal 4 2 2 8 3 2" xfId="13992" xr:uid="{5498CCCB-672B-42D6-806E-4B67588C0E62}"/>
    <cellStyle name="Normal 4 2 2 8 4" xfId="9774" xr:uid="{CDAA4083-3EDA-45CD-9EFC-5FC0F31C8763}"/>
    <cellStyle name="Normal 4 2 2 9" xfId="1648" xr:uid="{00000000-0005-0000-0000-000026130000}"/>
    <cellStyle name="Normal 4 2 2 9 2" xfId="3878" xr:uid="{00000000-0005-0000-0000-000027130000}"/>
    <cellStyle name="Normal 4 2 2 9 2 2" xfId="8100" xr:uid="{00000000-0005-0000-0000-000028130000}"/>
    <cellStyle name="Normal 4 2 2 9 2 2 2" xfId="16550" xr:uid="{44180DFC-A8F9-4725-832E-6C2DB6E34727}"/>
    <cellStyle name="Normal 4 2 2 9 2 3" xfId="12332" xr:uid="{2D68E0D7-CA3C-420A-8F31-E157BE242D1B}"/>
    <cellStyle name="Normal 4 2 2 9 3" xfId="5955" xr:uid="{00000000-0005-0000-0000-000029130000}"/>
    <cellStyle name="Normal 4 2 2 9 3 2" xfId="14405" xr:uid="{E52F81B1-42BD-4E04-B3F5-EAE85EB24BC7}"/>
    <cellStyle name="Normal 4 2 2 9 4" xfId="10187" xr:uid="{C7801EE0-270D-4D0D-9945-EE828A4E9E87}"/>
    <cellStyle name="Normal 4 2 3" xfId="354" xr:uid="{00000000-0005-0000-0000-00002A130000}"/>
    <cellStyle name="Normal 4 2 4" xfId="355" xr:uid="{00000000-0005-0000-0000-00002B130000}"/>
    <cellStyle name="Normal 4 2 4 10" xfId="4732" xr:uid="{00000000-0005-0000-0000-00002C130000}"/>
    <cellStyle name="Normal 4 2 4 10 2" xfId="13182" xr:uid="{B2FDD12D-11E5-41E7-BC17-598AE274B98C}"/>
    <cellStyle name="Normal 4 2 4 11" xfId="8964" xr:uid="{03CC519D-968C-4DB5-B3EA-6614B93DF8A4}"/>
    <cellStyle name="Normal 4 2 4 2" xfId="356" xr:uid="{00000000-0005-0000-0000-00002D130000}"/>
    <cellStyle name="Normal 4 2 4 2 10" xfId="8965" xr:uid="{9600E3F7-C514-425C-A333-6BEFAB26E472}"/>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2 2 2" xfId="15743" xr:uid="{1B2F9A0D-1CBF-449E-90B2-4E90782981CA}"/>
    <cellStyle name="Normal 4 2 4 2 2 2 2 2 3" xfId="11525" xr:uid="{BD249336-CD83-4CE2-92A2-3F4813E5A9CD}"/>
    <cellStyle name="Normal 4 2 4 2 2 2 2 3" xfId="5148" xr:uid="{00000000-0005-0000-0000-000033130000}"/>
    <cellStyle name="Normal 4 2 4 2 2 2 2 3 2" xfId="13598" xr:uid="{83435F5A-64CD-4512-B70C-64345AA0D47E}"/>
    <cellStyle name="Normal 4 2 4 2 2 2 2 4" xfId="9380" xr:uid="{61E1336A-08DE-469E-AB3F-CCD063C22FFC}"/>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2 2 2" xfId="16156" xr:uid="{11844CF7-F75C-443F-94B2-5C38165DFF44}"/>
    <cellStyle name="Normal 4 2 4 2 2 2 3 2 3" xfId="11938" xr:uid="{AFEB4B97-72E0-44E0-A21B-43E0CA551F2C}"/>
    <cellStyle name="Normal 4 2 4 2 2 2 3 3" xfId="5561" xr:uid="{00000000-0005-0000-0000-000037130000}"/>
    <cellStyle name="Normal 4 2 4 2 2 2 3 3 2" xfId="14011" xr:uid="{7BF3A2B4-C7B3-4CD5-8496-6472DE2E6B12}"/>
    <cellStyle name="Normal 4 2 4 2 2 2 3 4" xfId="9793" xr:uid="{502DA158-065B-4043-81C7-B52E155C58C5}"/>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2 2 2" xfId="16569" xr:uid="{3B28E4F4-E6BE-4A26-A1EC-9AF300518A12}"/>
    <cellStyle name="Normal 4 2 4 2 2 2 4 2 3" xfId="12351" xr:uid="{6212A836-9F77-4C35-A2C6-C5BC7682B9CB}"/>
    <cellStyle name="Normal 4 2 4 2 2 2 4 3" xfId="5974" xr:uid="{00000000-0005-0000-0000-00003B130000}"/>
    <cellStyle name="Normal 4 2 4 2 2 2 4 3 2" xfId="14424" xr:uid="{3DEAD2EC-45A6-439B-87D1-C5E08CB865D8}"/>
    <cellStyle name="Normal 4 2 4 2 2 2 4 4" xfId="10206" xr:uid="{901D9B12-A89E-4CB5-B969-3EE265B2AA52}"/>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2 2 2" xfId="16982" xr:uid="{DDF2EAD9-B7C3-4C19-A5F8-B0EF72B92028}"/>
    <cellStyle name="Normal 4 2 4 2 2 2 5 2 3" xfId="12764" xr:uid="{FCB1C63C-5901-414A-9F2E-C1C44E0B6BCB}"/>
    <cellStyle name="Normal 4 2 4 2 2 2 5 3" xfId="6387" xr:uid="{00000000-0005-0000-0000-00003F130000}"/>
    <cellStyle name="Normal 4 2 4 2 2 2 5 3 2" xfId="14837" xr:uid="{266B0148-715E-4827-9575-5421D7F70526}"/>
    <cellStyle name="Normal 4 2 4 2 2 2 5 4" xfId="10619" xr:uid="{26619C84-FAD9-4816-A21D-090D5B43C417}"/>
    <cellStyle name="Normal 4 2 4 2 2 2 6" xfId="2517" xr:uid="{00000000-0005-0000-0000-000040130000}"/>
    <cellStyle name="Normal 4 2 4 2 2 2 6 2" xfId="6800" xr:uid="{00000000-0005-0000-0000-000041130000}"/>
    <cellStyle name="Normal 4 2 4 2 2 2 6 2 2" xfId="15250" xr:uid="{BD4702A5-72A6-4BFC-B53E-5A1E11D99C7F}"/>
    <cellStyle name="Normal 4 2 4 2 2 2 6 3" xfId="11032" xr:uid="{81EA0009-F04C-4650-8DEA-5D94A5ED75AF}"/>
    <cellStyle name="Normal 4 2 4 2 2 2 7" xfId="4735" xr:uid="{00000000-0005-0000-0000-000042130000}"/>
    <cellStyle name="Normal 4 2 4 2 2 2 7 2" xfId="13185" xr:uid="{1C1BC255-6A37-4F4B-8F5F-3A6E693FF3F7}"/>
    <cellStyle name="Normal 4 2 4 2 2 2 8" xfId="8967" xr:uid="{16737F97-4D15-462F-95E8-366EC8E6A6A8}"/>
    <cellStyle name="Normal 4 2 4 2 2 3" xfId="833" xr:uid="{00000000-0005-0000-0000-000043130000}"/>
    <cellStyle name="Normal 4 2 4 2 2 3 2" xfId="3070" xr:uid="{00000000-0005-0000-0000-000044130000}"/>
    <cellStyle name="Normal 4 2 4 2 2 3 2 2" xfId="7292" xr:uid="{00000000-0005-0000-0000-000045130000}"/>
    <cellStyle name="Normal 4 2 4 2 2 3 2 2 2" xfId="15742" xr:uid="{FB85ECF8-9477-4348-BB34-8CA65EB5B0CC}"/>
    <cellStyle name="Normal 4 2 4 2 2 3 2 3" xfId="11524" xr:uid="{C1FFC87A-D627-4DAA-A2A0-27AECC160586}"/>
    <cellStyle name="Normal 4 2 4 2 2 3 3" xfId="5147" xr:uid="{00000000-0005-0000-0000-000046130000}"/>
    <cellStyle name="Normal 4 2 4 2 2 3 3 2" xfId="13597" xr:uid="{C699AA56-62AD-4686-AC32-C76C5892EEBE}"/>
    <cellStyle name="Normal 4 2 4 2 2 3 4" xfId="9379" xr:uid="{8A68A5CA-316B-473F-9BA9-270131A81B52}"/>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2 2 2" xfId="16155" xr:uid="{BB01169A-D82E-4BD6-9831-46DDF191877F}"/>
    <cellStyle name="Normal 4 2 4 2 2 4 2 3" xfId="11937" xr:uid="{8E586A6E-6DAA-4E7B-989A-93C67D872675}"/>
    <cellStyle name="Normal 4 2 4 2 2 4 3" xfId="5560" xr:uid="{00000000-0005-0000-0000-00004A130000}"/>
    <cellStyle name="Normal 4 2 4 2 2 4 3 2" xfId="14010" xr:uid="{11A8645A-7592-458A-8950-C5DD2DE456E8}"/>
    <cellStyle name="Normal 4 2 4 2 2 4 4" xfId="9792" xr:uid="{60B29C27-3111-4D9F-9446-CE7DCBDBE51E}"/>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2 2 2" xfId="16568" xr:uid="{2F9E8DC9-7861-4D24-97F4-976C1ACBC889}"/>
    <cellStyle name="Normal 4 2 4 2 2 5 2 3" xfId="12350" xr:uid="{09DF4FAB-7849-4B66-908B-FC0A3F1492BD}"/>
    <cellStyle name="Normal 4 2 4 2 2 5 3" xfId="5973" xr:uid="{00000000-0005-0000-0000-00004E130000}"/>
    <cellStyle name="Normal 4 2 4 2 2 5 3 2" xfId="14423" xr:uid="{783AFFB1-53D0-4EC4-BCAD-D829359BA8EC}"/>
    <cellStyle name="Normal 4 2 4 2 2 5 4" xfId="10205" xr:uid="{8538B507-6B47-4C38-B30C-A72576434256}"/>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2 2 2" xfId="16981" xr:uid="{255F375B-8407-46F4-8784-EEA58D89F1FB}"/>
    <cellStyle name="Normal 4 2 4 2 2 6 2 3" xfId="12763" xr:uid="{F1BACF13-F4EF-4968-AD8B-A94FABD1EC3D}"/>
    <cellStyle name="Normal 4 2 4 2 2 6 3" xfId="6386" xr:uid="{00000000-0005-0000-0000-000052130000}"/>
    <cellStyle name="Normal 4 2 4 2 2 6 3 2" xfId="14836" xr:uid="{8874F045-BD89-417E-8029-A8F179FB570C}"/>
    <cellStyle name="Normal 4 2 4 2 2 6 4" xfId="10618" xr:uid="{7A3457BB-3848-4CB6-8B6E-2D04F1B09B36}"/>
    <cellStyle name="Normal 4 2 4 2 2 7" xfId="2516" xr:uid="{00000000-0005-0000-0000-000053130000}"/>
    <cellStyle name="Normal 4 2 4 2 2 7 2" xfId="6799" xr:uid="{00000000-0005-0000-0000-000054130000}"/>
    <cellStyle name="Normal 4 2 4 2 2 7 2 2" xfId="15249" xr:uid="{223F0620-7D72-4D29-9323-0B18C1577EC5}"/>
    <cellStyle name="Normal 4 2 4 2 2 7 3" xfId="11031" xr:uid="{3B5DBD73-3B3C-4EB1-BB80-00D7CC4452DA}"/>
    <cellStyle name="Normal 4 2 4 2 2 8" xfId="4734" xr:uid="{00000000-0005-0000-0000-000055130000}"/>
    <cellStyle name="Normal 4 2 4 2 2 8 2" xfId="13184" xr:uid="{2134D645-14F2-4C4E-BCDC-AED7DAA718B2}"/>
    <cellStyle name="Normal 4 2 4 2 2 9" xfId="8966" xr:uid="{4C7500D0-29AE-48D5-8737-D78A145158B3}"/>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2 2 2" xfId="15744" xr:uid="{4A31090C-2BD8-4205-BB63-4852C971DAF5}"/>
    <cellStyle name="Normal 4 2 4 2 3 2 2 3" xfId="11526" xr:uid="{4BF57663-5D74-49B4-B09C-1845C81030BD}"/>
    <cellStyle name="Normal 4 2 4 2 3 2 3" xfId="5149" xr:uid="{00000000-0005-0000-0000-00005A130000}"/>
    <cellStyle name="Normal 4 2 4 2 3 2 3 2" xfId="13599" xr:uid="{BB54BD8E-13E0-4576-8E7E-460FD7673677}"/>
    <cellStyle name="Normal 4 2 4 2 3 2 4" xfId="9381" xr:uid="{B5E929C5-B805-4BF6-8254-4E5734EE8337}"/>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2 2 2" xfId="16157" xr:uid="{469B277E-7080-4F64-B21F-4E3D3DE9C373}"/>
    <cellStyle name="Normal 4 2 4 2 3 3 2 3" xfId="11939" xr:uid="{AF0B189D-753B-4502-8BB5-28533B24977B}"/>
    <cellStyle name="Normal 4 2 4 2 3 3 3" xfId="5562" xr:uid="{00000000-0005-0000-0000-00005E130000}"/>
    <cellStyle name="Normal 4 2 4 2 3 3 3 2" xfId="14012" xr:uid="{7DA5019C-9843-4813-B4C7-A2D5BE004A1A}"/>
    <cellStyle name="Normal 4 2 4 2 3 3 4" xfId="9794" xr:uid="{C11F75D3-4653-4F51-989C-36B4B04DD0B1}"/>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2 2 2" xfId="16570" xr:uid="{8BC5E2F1-1CD2-4103-8B23-043479E8DCE5}"/>
    <cellStyle name="Normal 4 2 4 2 3 4 2 3" xfId="12352" xr:uid="{9C899CED-DD8C-4EF9-8053-B63ED5CBC8A6}"/>
    <cellStyle name="Normal 4 2 4 2 3 4 3" xfId="5975" xr:uid="{00000000-0005-0000-0000-000062130000}"/>
    <cellStyle name="Normal 4 2 4 2 3 4 3 2" xfId="14425" xr:uid="{56E97872-8F7D-4005-9510-F90EB8359BB4}"/>
    <cellStyle name="Normal 4 2 4 2 3 4 4" xfId="10207" xr:uid="{69BC3B19-6469-4A51-9D4C-F3B37CF22B4C}"/>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2 2 2" xfId="16983" xr:uid="{F441C435-63AE-439D-8826-87ECC2AE48CD}"/>
    <cellStyle name="Normal 4 2 4 2 3 5 2 3" xfId="12765" xr:uid="{F042E7DD-4BA1-4AA4-86E9-2DB2124FCBC2}"/>
    <cellStyle name="Normal 4 2 4 2 3 5 3" xfId="6388" xr:uid="{00000000-0005-0000-0000-000066130000}"/>
    <cellStyle name="Normal 4 2 4 2 3 5 3 2" xfId="14838" xr:uid="{567123D4-613F-4D73-9EE2-29E8CEC588A3}"/>
    <cellStyle name="Normal 4 2 4 2 3 5 4" xfId="10620" xr:uid="{BEFE0F05-9AAC-4B35-A55F-0B1E9E863A29}"/>
    <cellStyle name="Normal 4 2 4 2 3 6" xfId="2518" xr:uid="{00000000-0005-0000-0000-000067130000}"/>
    <cellStyle name="Normal 4 2 4 2 3 6 2" xfId="6801" xr:uid="{00000000-0005-0000-0000-000068130000}"/>
    <cellStyle name="Normal 4 2 4 2 3 6 2 2" xfId="15251" xr:uid="{6010934C-93D7-4A3A-9FD6-CCB4087C4C1B}"/>
    <cellStyle name="Normal 4 2 4 2 3 6 3" xfId="11033" xr:uid="{DF4EC1A4-1BE3-4563-AC0C-0E71924CE105}"/>
    <cellStyle name="Normal 4 2 4 2 3 7" xfId="4736" xr:uid="{00000000-0005-0000-0000-000069130000}"/>
    <cellStyle name="Normal 4 2 4 2 3 7 2" xfId="13186" xr:uid="{6196FAA4-B6CF-4C67-8BC5-3A1ADFCDFA16}"/>
    <cellStyle name="Normal 4 2 4 2 3 8" xfId="8968" xr:uid="{C1F0194E-6561-4662-8866-B7A4C288EDED}"/>
    <cellStyle name="Normal 4 2 4 2 4" xfId="832" xr:uid="{00000000-0005-0000-0000-00006A130000}"/>
    <cellStyle name="Normal 4 2 4 2 4 2" xfId="3069" xr:uid="{00000000-0005-0000-0000-00006B130000}"/>
    <cellStyle name="Normal 4 2 4 2 4 2 2" xfId="7291" xr:uid="{00000000-0005-0000-0000-00006C130000}"/>
    <cellStyle name="Normal 4 2 4 2 4 2 2 2" xfId="15741" xr:uid="{228622A2-D6D4-4B38-B4B3-78EB220BD77F}"/>
    <cellStyle name="Normal 4 2 4 2 4 2 3" xfId="11523" xr:uid="{51CCDA08-0D20-4AA6-B826-2F73A887DFF2}"/>
    <cellStyle name="Normal 4 2 4 2 4 3" xfId="5146" xr:uid="{00000000-0005-0000-0000-00006D130000}"/>
    <cellStyle name="Normal 4 2 4 2 4 3 2" xfId="13596" xr:uid="{F0702E47-D272-4D13-BBFA-0F8225E8A11C}"/>
    <cellStyle name="Normal 4 2 4 2 4 4" xfId="9378" xr:uid="{0EFC7DDD-4308-4F25-B587-5B93D5928275}"/>
    <cellStyle name="Normal 4 2 4 2 5" xfId="1252" xr:uid="{00000000-0005-0000-0000-00006E130000}"/>
    <cellStyle name="Normal 4 2 4 2 5 2" xfId="3482" xr:uid="{00000000-0005-0000-0000-00006F130000}"/>
    <cellStyle name="Normal 4 2 4 2 5 2 2" xfId="7704" xr:uid="{00000000-0005-0000-0000-000070130000}"/>
    <cellStyle name="Normal 4 2 4 2 5 2 2 2" xfId="16154" xr:uid="{1B697D90-C788-40B9-A9FE-FEA2C5527180}"/>
    <cellStyle name="Normal 4 2 4 2 5 2 3" xfId="11936" xr:uid="{ECB325BF-CED8-4DBF-8E97-EAD347C30250}"/>
    <cellStyle name="Normal 4 2 4 2 5 3" xfId="5559" xr:uid="{00000000-0005-0000-0000-000071130000}"/>
    <cellStyle name="Normal 4 2 4 2 5 3 2" xfId="14009" xr:uid="{F0598ACA-AF3E-410A-A841-64CE26FB50CF}"/>
    <cellStyle name="Normal 4 2 4 2 5 4" xfId="9791" xr:uid="{DCD2F33D-BD30-4C24-B4E8-C61543E02834}"/>
    <cellStyle name="Normal 4 2 4 2 6" xfId="1665" xr:uid="{00000000-0005-0000-0000-000072130000}"/>
    <cellStyle name="Normal 4 2 4 2 6 2" xfId="3895" xr:uid="{00000000-0005-0000-0000-000073130000}"/>
    <cellStyle name="Normal 4 2 4 2 6 2 2" xfId="8117" xr:uid="{00000000-0005-0000-0000-000074130000}"/>
    <cellStyle name="Normal 4 2 4 2 6 2 2 2" xfId="16567" xr:uid="{A5077278-FFB3-4EEA-B7D9-67D88DFB125A}"/>
    <cellStyle name="Normal 4 2 4 2 6 2 3" xfId="12349" xr:uid="{1A560D00-69F1-4AA4-BAE0-A00458B89ABB}"/>
    <cellStyle name="Normal 4 2 4 2 6 3" xfId="5972" xr:uid="{00000000-0005-0000-0000-000075130000}"/>
    <cellStyle name="Normal 4 2 4 2 6 3 2" xfId="14422" xr:uid="{B0916DD1-E76C-4ABA-BB81-33632F92AB82}"/>
    <cellStyle name="Normal 4 2 4 2 6 4" xfId="10204" xr:uid="{47E58548-1B2F-449F-BD2F-0D6535422675}"/>
    <cellStyle name="Normal 4 2 4 2 7" xfId="2079" xr:uid="{00000000-0005-0000-0000-000076130000}"/>
    <cellStyle name="Normal 4 2 4 2 7 2" xfId="4308" xr:uid="{00000000-0005-0000-0000-000077130000}"/>
    <cellStyle name="Normal 4 2 4 2 7 2 2" xfId="8530" xr:uid="{00000000-0005-0000-0000-000078130000}"/>
    <cellStyle name="Normal 4 2 4 2 7 2 2 2" xfId="16980" xr:uid="{D838A1FB-BC60-4016-98B6-2AE75BB9C062}"/>
    <cellStyle name="Normal 4 2 4 2 7 2 3" xfId="12762" xr:uid="{4777F695-EB28-4A09-87E5-A43E8C4E021F}"/>
    <cellStyle name="Normal 4 2 4 2 7 3" xfId="6385" xr:uid="{00000000-0005-0000-0000-000079130000}"/>
    <cellStyle name="Normal 4 2 4 2 7 3 2" xfId="14835" xr:uid="{D7C25632-A256-4BBB-82BF-231FA6320866}"/>
    <cellStyle name="Normal 4 2 4 2 7 4" xfId="10617" xr:uid="{1CECC2E1-A30F-4DE3-9B8E-5DB715376FD0}"/>
    <cellStyle name="Normal 4 2 4 2 8" xfId="2515" xr:uid="{00000000-0005-0000-0000-00007A130000}"/>
    <cellStyle name="Normal 4 2 4 2 8 2" xfId="6798" xr:uid="{00000000-0005-0000-0000-00007B130000}"/>
    <cellStyle name="Normal 4 2 4 2 8 2 2" xfId="15248" xr:uid="{4A2380E6-4E00-4639-BE40-6C42570B212F}"/>
    <cellStyle name="Normal 4 2 4 2 8 3" xfId="11030" xr:uid="{6FDA2E93-77EF-4871-BB3F-9629A4F775BF}"/>
    <cellStyle name="Normal 4 2 4 2 9" xfId="4733" xr:uid="{00000000-0005-0000-0000-00007C130000}"/>
    <cellStyle name="Normal 4 2 4 2 9 2" xfId="13183" xr:uid="{3726FB95-E6AE-453F-B660-2C47B591747D}"/>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2 2 2" xfId="15746" xr:uid="{BD8AD391-E961-4F32-83A4-5F96C9B66234}"/>
    <cellStyle name="Normal 4 2 4 3 2 2 2 3" xfId="11528" xr:uid="{20355E92-121E-4B03-BA8A-6100A4BED84C}"/>
    <cellStyle name="Normal 4 2 4 3 2 2 3" xfId="5151" xr:uid="{00000000-0005-0000-0000-000082130000}"/>
    <cellStyle name="Normal 4 2 4 3 2 2 3 2" xfId="13601" xr:uid="{FC83693B-A6D0-4459-ADF9-A9E001B0A57A}"/>
    <cellStyle name="Normal 4 2 4 3 2 2 4" xfId="9383" xr:uid="{D64FC679-854A-4F83-8D4B-3552BADFBB86}"/>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2 2 2" xfId="16159" xr:uid="{8499661F-2ABB-4A6F-BF25-D30F9F754BE7}"/>
    <cellStyle name="Normal 4 2 4 3 2 3 2 3" xfId="11941" xr:uid="{414090B8-F932-40AB-BCE8-03496A7859D8}"/>
    <cellStyle name="Normal 4 2 4 3 2 3 3" xfId="5564" xr:uid="{00000000-0005-0000-0000-000086130000}"/>
    <cellStyle name="Normal 4 2 4 3 2 3 3 2" xfId="14014" xr:uid="{F3DF8F23-09A4-4CC4-A80F-F0D2549C2E2E}"/>
    <cellStyle name="Normal 4 2 4 3 2 3 4" xfId="9796" xr:uid="{CEDB0D83-4832-4BEE-B8E7-973988507C5B}"/>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2 2 2" xfId="16572" xr:uid="{C950D6B2-49BB-4B65-9286-C436CF46A659}"/>
    <cellStyle name="Normal 4 2 4 3 2 4 2 3" xfId="12354" xr:uid="{C6D757F0-0875-462C-BC59-5BD84006AF0E}"/>
    <cellStyle name="Normal 4 2 4 3 2 4 3" xfId="5977" xr:uid="{00000000-0005-0000-0000-00008A130000}"/>
    <cellStyle name="Normal 4 2 4 3 2 4 3 2" xfId="14427" xr:uid="{93DEC5FE-A9E7-44AC-8F1C-97168D6208EF}"/>
    <cellStyle name="Normal 4 2 4 3 2 4 4" xfId="10209" xr:uid="{30A236DA-20C2-4763-8AC3-DAC71F1ED071}"/>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2 2 2" xfId="16985" xr:uid="{7695A126-926E-418B-9E5D-359DA20F0216}"/>
    <cellStyle name="Normal 4 2 4 3 2 5 2 3" xfId="12767" xr:uid="{66D5A79F-9E66-414E-847E-79B4175D9DB4}"/>
    <cellStyle name="Normal 4 2 4 3 2 5 3" xfId="6390" xr:uid="{00000000-0005-0000-0000-00008E130000}"/>
    <cellStyle name="Normal 4 2 4 3 2 5 3 2" xfId="14840" xr:uid="{83973DF3-8F00-4ABE-B6BE-95D519051E6B}"/>
    <cellStyle name="Normal 4 2 4 3 2 5 4" xfId="10622" xr:uid="{05D4C9E6-89D4-4023-85D0-778397E866C8}"/>
    <cellStyle name="Normal 4 2 4 3 2 6" xfId="2520" xr:uid="{00000000-0005-0000-0000-00008F130000}"/>
    <cellStyle name="Normal 4 2 4 3 2 6 2" xfId="6803" xr:uid="{00000000-0005-0000-0000-000090130000}"/>
    <cellStyle name="Normal 4 2 4 3 2 6 2 2" xfId="15253" xr:uid="{6AC46996-E912-4879-A65D-0784D5A2AC6E}"/>
    <cellStyle name="Normal 4 2 4 3 2 6 3" xfId="11035" xr:uid="{2799AE42-928E-4433-9738-EF050B77ABCB}"/>
    <cellStyle name="Normal 4 2 4 3 2 7" xfId="4738" xr:uid="{00000000-0005-0000-0000-000091130000}"/>
    <cellStyle name="Normal 4 2 4 3 2 7 2" xfId="13188" xr:uid="{AC4E453C-5EB9-463B-8F52-F80D4C86862D}"/>
    <cellStyle name="Normal 4 2 4 3 2 8" xfId="8970" xr:uid="{B6C7DE55-73CC-4D35-B8C9-DF140F38A137}"/>
    <cellStyle name="Normal 4 2 4 3 3" xfId="836" xr:uid="{00000000-0005-0000-0000-000092130000}"/>
    <cellStyle name="Normal 4 2 4 3 3 2" xfId="3073" xr:uid="{00000000-0005-0000-0000-000093130000}"/>
    <cellStyle name="Normal 4 2 4 3 3 2 2" xfId="7295" xr:uid="{00000000-0005-0000-0000-000094130000}"/>
    <cellStyle name="Normal 4 2 4 3 3 2 2 2" xfId="15745" xr:uid="{C6FCC655-12C2-456C-98EF-127D80AC3755}"/>
    <cellStyle name="Normal 4 2 4 3 3 2 3" xfId="11527" xr:uid="{B740F2DB-912C-4E84-B4C7-EF6D405BA3B4}"/>
    <cellStyle name="Normal 4 2 4 3 3 3" xfId="5150" xr:uid="{00000000-0005-0000-0000-000095130000}"/>
    <cellStyle name="Normal 4 2 4 3 3 3 2" xfId="13600" xr:uid="{5F3B95E8-7B5C-42C5-99CC-C0B1C8D816E0}"/>
    <cellStyle name="Normal 4 2 4 3 3 4" xfId="9382" xr:uid="{99C46B2D-5859-455F-A7F2-AD8142EA2530}"/>
    <cellStyle name="Normal 4 2 4 3 4" xfId="1256" xr:uid="{00000000-0005-0000-0000-000096130000}"/>
    <cellStyle name="Normal 4 2 4 3 4 2" xfId="3486" xr:uid="{00000000-0005-0000-0000-000097130000}"/>
    <cellStyle name="Normal 4 2 4 3 4 2 2" xfId="7708" xr:uid="{00000000-0005-0000-0000-000098130000}"/>
    <cellStyle name="Normal 4 2 4 3 4 2 2 2" xfId="16158" xr:uid="{D33F9AAF-D762-4822-9083-2BC0F7DD5D3E}"/>
    <cellStyle name="Normal 4 2 4 3 4 2 3" xfId="11940" xr:uid="{A6EB7152-D40E-4A6E-B2CF-DD28379AD742}"/>
    <cellStyle name="Normal 4 2 4 3 4 3" xfId="5563" xr:uid="{00000000-0005-0000-0000-000099130000}"/>
    <cellStyle name="Normal 4 2 4 3 4 3 2" xfId="14013" xr:uid="{422D515B-6B26-46F6-8C79-E3922F627CA4}"/>
    <cellStyle name="Normal 4 2 4 3 4 4" xfId="9795" xr:uid="{FD392DD7-882C-4387-9B9A-C72255125BC8}"/>
    <cellStyle name="Normal 4 2 4 3 5" xfId="1669" xr:uid="{00000000-0005-0000-0000-00009A130000}"/>
    <cellStyle name="Normal 4 2 4 3 5 2" xfId="3899" xr:uid="{00000000-0005-0000-0000-00009B130000}"/>
    <cellStyle name="Normal 4 2 4 3 5 2 2" xfId="8121" xr:uid="{00000000-0005-0000-0000-00009C130000}"/>
    <cellStyle name="Normal 4 2 4 3 5 2 2 2" xfId="16571" xr:uid="{D6BC9ADD-57DF-49A9-9DB5-796D0F20AAB9}"/>
    <cellStyle name="Normal 4 2 4 3 5 2 3" xfId="12353" xr:uid="{7D2AD6D2-44A6-4966-BC35-726F6D5D80D0}"/>
    <cellStyle name="Normal 4 2 4 3 5 3" xfId="5976" xr:uid="{00000000-0005-0000-0000-00009D130000}"/>
    <cellStyle name="Normal 4 2 4 3 5 3 2" xfId="14426" xr:uid="{51751BAE-B0B0-4847-A023-443C7CB6244D}"/>
    <cellStyle name="Normal 4 2 4 3 5 4" xfId="10208" xr:uid="{0F4966E6-3740-4EAE-A2A6-49C45C3C8E6B}"/>
    <cellStyle name="Normal 4 2 4 3 6" xfId="2083" xr:uid="{00000000-0005-0000-0000-00009E130000}"/>
    <cellStyle name="Normal 4 2 4 3 6 2" xfId="4312" xr:uid="{00000000-0005-0000-0000-00009F130000}"/>
    <cellStyle name="Normal 4 2 4 3 6 2 2" xfId="8534" xr:uid="{00000000-0005-0000-0000-0000A0130000}"/>
    <cellStyle name="Normal 4 2 4 3 6 2 2 2" xfId="16984" xr:uid="{A52DCF11-86E8-4E7A-B82F-6397E2547835}"/>
    <cellStyle name="Normal 4 2 4 3 6 2 3" xfId="12766" xr:uid="{AFFF3718-B5B3-40DA-B59A-409131164304}"/>
    <cellStyle name="Normal 4 2 4 3 6 3" xfId="6389" xr:uid="{00000000-0005-0000-0000-0000A1130000}"/>
    <cellStyle name="Normal 4 2 4 3 6 3 2" xfId="14839" xr:uid="{78355BE3-CD89-4D19-9FE7-233299855F18}"/>
    <cellStyle name="Normal 4 2 4 3 6 4" xfId="10621" xr:uid="{AF204649-021C-4C6C-8ABD-A1DD7ECA6B37}"/>
    <cellStyle name="Normal 4 2 4 3 7" xfId="2519" xr:uid="{00000000-0005-0000-0000-0000A2130000}"/>
    <cellStyle name="Normal 4 2 4 3 7 2" xfId="6802" xr:uid="{00000000-0005-0000-0000-0000A3130000}"/>
    <cellStyle name="Normal 4 2 4 3 7 2 2" xfId="15252" xr:uid="{6F43409C-E0B7-4831-91C9-D794E3A03EDF}"/>
    <cellStyle name="Normal 4 2 4 3 7 3" xfId="11034" xr:uid="{48CD1F60-B60F-4F6B-BC0A-6B0096A04897}"/>
    <cellStyle name="Normal 4 2 4 3 8" xfId="4737" xr:uid="{00000000-0005-0000-0000-0000A4130000}"/>
    <cellStyle name="Normal 4 2 4 3 8 2" xfId="13187" xr:uid="{C1E394CE-250C-4F02-99CF-97968240743E}"/>
    <cellStyle name="Normal 4 2 4 3 9" xfId="8969" xr:uid="{ABA9BCFB-B5B9-4DD4-B31A-7D3F39E8B1A2}"/>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2 2 2" xfId="15747" xr:uid="{B0BA356C-35AB-4CEF-A176-D5BBEB2AB345}"/>
    <cellStyle name="Normal 4 2 4 4 2 2 3" xfId="11529" xr:uid="{E6D854DC-1F04-4CB8-B87F-9EB48410A2CE}"/>
    <cellStyle name="Normal 4 2 4 4 2 3" xfId="5152" xr:uid="{00000000-0005-0000-0000-0000A9130000}"/>
    <cellStyle name="Normal 4 2 4 4 2 3 2" xfId="13602" xr:uid="{7195D069-25F7-4FF7-AEE3-9D233585D76B}"/>
    <cellStyle name="Normal 4 2 4 4 2 4" xfId="9384" xr:uid="{1CFF25F6-505E-4A12-B5B8-E4D3BF61466A}"/>
    <cellStyle name="Normal 4 2 4 4 3" xfId="1258" xr:uid="{00000000-0005-0000-0000-0000AA130000}"/>
    <cellStyle name="Normal 4 2 4 4 3 2" xfId="3488" xr:uid="{00000000-0005-0000-0000-0000AB130000}"/>
    <cellStyle name="Normal 4 2 4 4 3 2 2" xfId="7710" xr:uid="{00000000-0005-0000-0000-0000AC130000}"/>
    <cellStyle name="Normal 4 2 4 4 3 2 2 2" xfId="16160" xr:uid="{6B582456-24C2-4F13-9296-48229B2B5335}"/>
    <cellStyle name="Normal 4 2 4 4 3 2 3" xfId="11942" xr:uid="{A53A74AE-3BF5-463C-9CF0-B98538670D00}"/>
    <cellStyle name="Normal 4 2 4 4 3 3" xfId="5565" xr:uid="{00000000-0005-0000-0000-0000AD130000}"/>
    <cellStyle name="Normal 4 2 4 4 3 3 2" xfId="14015" xr:uid="{BE3210C3-476D-4F2C-AEE6-8B8E68B68B5D}"/>
    <cellStyle name="Normal 4 2 4 4 3 4" xfId="9797" xr:uid="{5DA163FE-1100-4EE4-9D5A-21B4D566EE02}"/>
    <cellStyle name="Normal 4 2 4 4 4" xfId="1671" xr:uid="{00000000-0005-0000-0000-0000AE130000}"/>
    <cellStyle name="Normal 4 2 4 4 4 2" xfId="3901" xr:uid="{00000000-0005-0000-0000-0000AF130000}"/>
    <cellStyle name="Normal 4 2 4 4 4 2 2" xfId="8123" xr:uid="{00000000-0005-0000-0000-0000B0130000}"/>
    <cellStyle name="Normal 4 2 4 4 4 2 2 2" xfId="16573" xr:uid="{10C5AAB2-9B4F-4F3E-89CB-75B53E8A8AAE}"/>
    <cellStyle name="Normal 4 2 4 4 4 2 3" xfId="12355" xr:uid="{A879A7A1-49C0-4299-9F31-355ACBD2B796}"/>
    <cellStyle name="Normal 4 2 4 4 4 3" xfId="5978" xr:uid="{00000000-0005-0000-0000-0000B1130000}"/>
    <cellStyle name="Normal 4 2 4 4 4 3 2" xfId="14428" xr:uid="{313E0706-73D3-4F28-895B-9EFBFAFF5175}"/>
    <cellStyle name="Normal 4 2 4 4 4 4" xfId="10210" xr:uid="{CCD4FB20-5DFE-40BE-BB1A-15EED7999416}"/>
    <cellStyle name="Normal 4 2 4 4 5" xfId="2085" xr:uid="{00000000-0005-0000-0000-0000B2130000}"/>
    <cellStyle name="Normal 4 2 4 4 5 2" xfId="4314" xr:uid="{00000000-0005-0000-0000-0000B3130000}"/>
    <cellStyle name="Normal 4 2 4 4 5 2 2" xfId="8536" xr:uid="{00000000-0005-0000-0000-0000B4130000}"/>
    <cellStyle name="Normal 4 2 4 4 5 2 2 2" xfId="16986" xr:uid="{8C70E9A3-2E10-4139-BF59-90C6CC0B19C1}"/>
    <cellStyle name="Normal 4 2 4 4 5 2 3" xfId="12768" xr:uid="{899264C7-DFC4-4BD8-A5DA-9215E6F8E8F9}"/>
    <cellStyle name="Normal 4 2 4 4 5 3" xfId="6391" xr:uid="{00000000-0005-0000-0000-0000B5130000}"/>
    <cellStyle name="Normal 4 2 4 4 5 3 2" xfId="14841" xr:uid="{4D114F20-0917-4CC4-B70B-0A52BE577BD9}"/>
    <cellStyle name="Normal 4 2 4 4 5 4" xfId="10623" xr:uid="{4AC07F07-C0EF-4364-8F77-28BA372181FC}"/>
    <cellStyle name="Normal 4 2 4 4 6" xfId="2521" xr:uid="{00000000-0005-0000-0000-0000B6130000}"/>
    <cellStyle name="Normal 4 2 4 4 6 2" xfId="6804" xr:uid="{00000000-0005-0000-0000-0000B7130000}"/>
    <cellStyle name="Normal 4 2 4 4 6 2 2" xfId="15254" xr:uid="{FDED0405-333B-47FB-AA65-ABA184F511DA}"/>
    <cellStyle name="Normal 4 2 4 4 6 3" xfId="11036" xr:uid="{D1528D14-DF4C-4FDC-89D8-147678416B3F}"/>
    <cellStyle name="Normal 4 2 4 4 7" xfId="4739" xr:uid="{00000000-0005-0000-0000-0000B8130000}"/>
    <cellStyle name="Normal 4 2 4 4 7 2" xfId="13189" xr:uid="{D1E45900-E6A8-455D-BF83-8754B6DE23D0}"/>
    <cellStyle name="Normal 4 2 4 4 8" xfId="8971" xr:uid="{61522911-3E7A-4432-A619-F0AEB63DBA94}"/>
    <cellStyle name="Normal 4 2 4 5" xfId="831" xr:uid="{00000000-0005-0000-0000-0000B9130000}"/>
    <cellStyle name="Normal 4 2 4 5 2" xfId="3068" xr:uid="{00000000-0005-0000-0000-0000BA130000}"/>
    <cellStyle name="Normal 4 2 4 5 2 2" xfId="7290" xr:uid="{00000000-0005-0000-0000-0000BB130000}"/>
    <cellStyle name="Normal 4 2 4 5 2 2 2" xfId="15740" xr:uid="{8F57AEC2-BC0A-46AB-A080-9AADB0C3872D}"/>
    <cellStyle name="Normal 4 2 4 5 2 3" xfId="11522" xr:uid="{C84B55B4-9357-4C01-A8AF-88248BDBA836}"/>
    <cellStyle name="Normal 4 2 4 5 3" xfId="5145" xr:uid="{00000000-0005-0000-0000-0000BC130000}"/>
    <cellStyle name="Normal 4 2 4 5 3 2" xfId="13595" xr:uid="{04CFF807-F277-4AC2-AB7C-5E019437C1FB}"/>
    <cellStyle name="Normal 4 2 4 5 4" xfId="9377" xr:uid="{C7CD7CD6-B6FB-4393-BCB9-002EBED43F24}"/>
    <cellStyle name="Normal 4 2 4 6" xfId="1251" xr:uid="{00000000-0005-0000-0000-0000BD130000}"/>
    <cellStyle name="Normal 4 2 4 6 2" xfId="3481" xr:uid="{00000000-0005-0000-0000-0000BE130000}"/>
    <cellStyle name="Normal 4 2 4 6 2 2" xfId="7703" xr:uid="{00000000-0005-0000-0000-0000BF130000}"/>
    <cellStyle name="Normal 4 2 4 6 2 2 2" xfId="16153" xr:uid="{DCD933AD-6736-47F9-9199-A0D8A36087F4}"/>
    <cellStyle name="Normal 4 2 4 6 2 3" xfId="11935" xr:uid="{9867BB04-DE43-466B-B81E-90ED3D7D91B4}"/>
    <cellStyle name="Normal 4 2 4 6 3" xfId="5558" xr:uid="{00000000-0005-0000-0000-0000C0130000}"/>
    <cellStyle name="Normal 4 2 4 6 3 2" xfId="14008" xr:uid="{56A2601D-67C6-4B93-8740-34325D855F71}"/>
    <cellStyle name="Normal 4 2 4 6 4" xfId="9790" xr:uid="{F891C1F8-0ED9-420A-BBA7-89838440D450}"/>
    <cellStyle name="Normal 4 2 4 7" xfId="1664" xr:uid="{00000000-0005-0000-0000-0000C1130000}"/>
    <cellStyle name="Normal 4 2 4 7 2" xfId="3894" xr:uid="{00000000-0005-0000-0000-0000C2130000}"/>
    <cellStyle name="Normal 4 2 4 7 2 2" xfId="8116" xr:uid="{00000000-0005-0000-0000-0000C3130000}"/>
    <cellStyle name="Normal 4 2 4 7 2 2 2" xfId="16566" xr:uid="{04BDFC57-9A97-4C71-9C04-B586A695251E}"/>
    <cellStyle name="Normal 4 2 4 7 2 3" xfId="12348" xr:uid="{543F5856-F298-49A8-AA79-5D8EDDB2B2BA}"/>
    <cellStyle name="Normal 4 2 4 7 3" xfId="5971" xr:uid="{00000000-0005-0000-0000-0000C4130000}"/>
    <cellStyle name="Normal 4 2 4 7 3 2" xfId="14421" xr:uid="{0C09656D-23C4-4B02-9908-57CC61FB864C}"/>
    <cellStyle name="Normal 4 2 4 7 4" xfId="10203" xr:uid="{21EF18B4-E3DF-444F-AF91-BA6F3017FEC4}"/>
    <cellStyle name="Normal 4 2 4 8" xfId="2078" xr:uid="{00000000-0005-0000-0000-0000C5130000}"/>
    <cellStyle name="Normal 4 2 4 8 2" xfId="4307" xr:uid="{00000000-0005-0000-0000-0000C6130000}"/>
    <cellStyle name="Normal 4 2 4 8 2 2" xfId="8529" xr:uid="{00000000-0005-0000-0000-0000C7130000}"/>
    <cellStyle name="Normal 4 2 4 8 2 2 2" xfId="16979" xr:uid="{C8662E76-D034-4271-BF38-D5890EF15255}"/>
    <cellStyle name="Normal 4 2 4 8 2 3" xfId="12761" xr:uid="{6AE8D17E-410A-4E16-8811-E73352B106AA}"/>
    <cellStyle name="Normal 4 2 4 8 3" xfId="6384" xr:uid="{00000000-0005-0000-0000-0000C8130000}"/>
    <cellStyle name="Normal 4 2 4 8 3 2" xfId="14834" xr:uid="{BEAE572B-D85B-4114-9362-4CAF8DB1DC11}"/>
    <cellStyle name="Normal 4 2 4 8 4" xfId="10616" xr:uid="{3656A049-1352-4AE2-8B08-FEBFDA442D2E}"/>
    <cellStyle name="Normal 4 2 4 9" xfId="2514" xr:uid="{00000000-0005-0000-0000-0000C9130000}"/>
    <cellStyle name="Normal 4 2 4 9 2" xfId="6797" xr:uid="{00000000-0005-0000-0000-0000CA130000}"/>
    <cellStyle name="Normal 4 2 4 9 2 2" xfId="15247" xr:uid="{2F79C027-6621-43ED-B12C-A1A0236AEA45}"/>
    <cellStyle name="Normal 4 2 4 9 3" xfId="11029" xr:uid="{E4996E39-DDF4-40A0-9A9E-79E188E7C624}"/>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2 2 2" xfId="15749" xr:uid="{13D2019C-8E13-482A-8459-664C42988F51}"/>
    <cellStyle name="Normal 4 2 5 2 2 2 3" xfId="11531" xr:uid="{BB7A120C-ACAC-42F4-B6CA-66F1F1827B30}"/>
    <cellStyle name="Normal 4 2 5 2 2 3" xfId="5154" xr:uid="{00000000-0005-0000-0000-0000D0130000}"/>
    <cellStyle name="Normal 4 2 5 2 2 3 2" xfId="13604" xr:uid="{0A4532D0-0176-4DEE-BFFD-54DACEA2D5CE}"/>
    <cellStyle name="Normal 4 2 5 2 2 4" xfId="9386" xr:uid="{DAC9FFC7-E777-4818-B990-625FECB0D192}"/>
    <cellStyle name="Normal 4 2 5 2 3" xfId="1260" xr:uid="{00000000-0005-0000-0000-0000D1130000}"/>
    <cellStyle name="Normal 4 2 5 2 3 2" xfId="3490" xr:uid="{00000000-0005-0000-0000-0000D2130000}"/>
    <cellStyle name="Normal 4 2 5 2 3 2 2" xfId="7712" xr:uid="{00000000-0005-0000-0000-0000D3130000}"/>
    <cellStyle name="Normal 4 2 5 2 3 2 2 2" xfId="16162" xr:uid="{492DAA8E-942C-4EC6-8BC0-4F1FBEBFC333}"/>
    <cellStyle name="Normal 4 2 5 2 3 2 3" xfId="11944" xr:uid="{E3021EC6-5532-4670-B9EE-83829B9C70F8}"/>
    <cellStyle name="Normal 4 2 5 2 3 3" xfId="5567" xr:uid="{00000000-0005-0000-0000-0000D4130000}"/>
    <cellStyle name="Normal 4 2 5 2 3 3 2" xfId="14017" xr:uid="{C242D8E5-3ABA-4E31-BEEE-481BE28F9A98}"/>
    <cellStyle name="Normal 4 2 5 2 3 4" xfId="9799" xr:uid="{B1180476-5F9C-4011-9BD9-342A62EB1E80}"/>
    <cellStyle name="Normal 4 2 5 2 4" xfId="1673" xr:uid="{00000000-0005-0000-0000-0000D5130000}"/>
    <cellStyle name="Normal 4 2 5 2 4 2" xfId="3903" xr:uid="{00000000-0005-0000-0000-0000D6130000}"/>
    <cellStyle name="Normal 4 2 5 2 4 2 2" xfId="8125" xr:uid="{00000000-0005-0000-0000-0000D7130000}"/>
    <cellStyle name="Normal 4 2 5 2 4 2 2 2" xfId="16575" xr:uid="{33B848D7-4595-48AC-9CFA-290E784CC9AE}"/>
    <cellStyle name="Normal 4 2 5 2 4 2 3" xfId="12357" xr:uid="{93E10FDB-1F0E-4262-9364-B1810E3A6EBA}"/>
    <cellStyle name="Normal 4 2 5 2 4 3" xfId="5980" xr:uid="{00000000-0005-0000-0000-0000D8130000}"/>
    <cellStyle name="Normal 4 2 5 2 4 3 2" xfId="14430" xr:uid="{3F88B8F3-4AAC-4C32-BDCE-DCE7F53A82F9}"/>
    <cellStyle name="Normal 4 2 5 2 4 4" xfId="10212" xr:uid="{DE5213CE-9236-4382-B26C-DA49111BE5FD}"/>
    <cellStyle name="Normal 4 2 5 2 5" xfId="2087" xr:uid="{00000000-0005-0000-0000-0000D9130000}"/>
    <cellStyle name="Normal 4 2 5 2 5 2" xfId="4316" xr:uid="{00000000-0005-0000-0000-0000DA130000}"/>
    <cellStyle name="Normal 4 2 5 2 5 2 2" xfId="8538" xr:uid="{00000000-0005-0000-0000-0000DB130000}"/>
    <cellStyle name="Normal 4 2 5 2 5 2 2 2" xfId="16988" xr:uid="{7831D0B5-E4FF-4DB4-8B4B-4FBF69D7DDA0}"/>
    <cellStyle name="Normal 4 2 5 2 5 2 3" xfId="12770" xr:uid="{A3D5377D-36DB-4FD7-8828-4DF101B3D67C}"/>
    <cellStyle name="Normal 4 2 5 2 5 3" xfId="6393" xr:uid="{00000000-0005-0000-0000-0000DC130000}"/>
    <cellStyle name="Normal 4 2 5 2 5 3 2" xfId="14843" xr:uid="{B01A9CBF-8038-4254-935B-205CE0174063}"/>
    <cellStyle name="Normal 4 2 5 2 5 4" xfId="10625" xr:uid="{AF25C28C-0851-44C3-873D-A42AC310048C}"/>
    <cellStyle name="Normal 4 2 5 2 6" xfId="2523" xr:uid="{00000000-0005-0000-0000-0000DD130000}"/>
    <cellStyle name="Normal 4 2 5 2 6 2" xfId="6806" xr:uid="{00000000-0005-0000-0000-0000DE130000}"/>
    <cellStyle name="Normal 4 2 5 2 6 2 2" xfId="15256" xr:uid="{C727301C-1CCB-4331-B9F2-1845EB3FED1A}"/>
    <cellStyle name="Normal 4 2 5 2 6 3" xfId="11038" xr:uid="{D4E692B8-89B6-4F1A-910A-14F3BA1893D9}"/>
    <cellStyle name="Normal 4 2 5 2 7" xfId="4741" xr:uid="{00000000-0005-0000-0000-0000DF130000}"/>
    <cellStyle name="Normal 4 2 5 2 7 2" xfId="13191" xr:uid="{B3AD1020-8A7F-4FC9-9EF9-ACA01E5B8586}"/>
    <cellStyle name="Normal 4 2 5 2 8" xfId="8973" xr:uid="{0158897F-EF61-4589-B1A3-E193764AE0FA}"/>
    <cellStyle name="Normal 4 2 5 3" xfId="839" xr:uid="{00000000-0005-0000-0000-0000E0130000}"/>
    <cellStyle name="Normal 4 2 5 3 2" xfId="3076" xr:uid="{00000000-0005-0000-0000-0000E1130000}"/>
    <cellStyle name="Normal 4 2 5 3 2 2" xfId="7298" xr:uid="{00000000-0005-0000-0000-0000E2130000}"/>
    <cellStyle name="Normal 4 2 5 3 2 2 2" xfId="15748" xr:uid="{15145A08-0EEF-4AE2-AFF4-96E85716BCBF}"/>
    <cellStyle name="Normal 4 2 5 3 2 3" xfId="11530" xr:uid="{AB124FAF-5B58-4C76-A652-29363778E984}"/>
    <cellStyle name="Normal 4 2 5 3 3" xfId="5153" xr:uid="{00000000-0005-0000-0000-0000E3130000}"/>
    <cellStyle name="Normal 4 2 5 3 3 2" xfId="13603" xr:uid="{B8FC2E1E-5148-40E0-BE8E-84A00AB3EAC0}"/>
    <cellStyle name="Normal 4 2 5 3 4" xfId="9385" xr:uid="{C2CD3136-01B2-4123-B5D7-3FB156BFADF4}"/>
    <cellStyle name="Normal 4 2 5 4" xfId="1259" xr:uid="{00000000-0005-0000-0000-0000E4130000}"/>
    <cellStyle name="Normal 4 2 5 4 2" xfId="3489" xr:uid="{00000000-0005-0000-0000-0000E5130000}"/>
    <cellStyle name="Normal 4 2 5 4 2 2" xfId="7711" xr:uid="{00000000-0005-0000-0000-0000E6130000}"/>
    <cellStyle name="Normal 4 2 5 4 2 2 2" xfId="16161" xr:uid="{0A8469E2-D98B-4379-835A-5BC32A6E2D2D}"/>
    <cellStyle name="Normal 4 2 5 4 2 3" xfId="11943" xr:uid="{EF8B0D93-25E8-4403-8844-B914139A9B28}"/>
    <cellStyle name="Normal 4 2 5 4 3" xfId="5566" xr:uid="{00000000-0005-0000-0000-0000E7130000}"/>
    <cellStyle name="Normal 4 2 5 4 3 2" xfId="14016" xr:uid="{C5437DD3-C54C-4523-9C5A-3383159801A7}"/>
    <cellStyle name="Normal 4 2 5 4 4" xfId="9798" xr:uid="{501806B4-FFFC-4FC1-B63B-D12F3637389D}"/>
    <cellStyle name="Normal 4 2 5 5" xfId="1672" xr:uid="{00000000-0005-0000-0000-0000E8130000}"/>
    <cellStyle name="Normal 4 2 5 5 2" xfId="3902" xr:uid="{00000000-0005-0000-0000-0000E9130000}"/>
    <cellStyle name="Normal 4 2 5 5 2 2" xfId="8124" xr:uid="{00000000-0005-0000-0000-0000EA130000}"/>
    <cellStyle name="Normal 4 2 5 5 2 2 2" xfId="16574" xr:uid="{09B0F3A6-1AF1-49A7-B180-600657EDB679}"/>
    <cellStyle name="Normal 4 2 5 5 2 3" xfId="12356" xr:uid="{58547C1E-86D0-44B1-A666-EDD42D93D642}"/>
    <cellStyle name="Normal 4 2 5 5 3" xfId="5979" xr:uid="{00000000-0005-0000-0000-0000EB130000}"/>
    <cellStyle name="Normal 4 2 5 5 3 2" xfId="14429" xr:uid="{DC96BE16-4A7D-4B62-A2A2-5F87099AA3A1}"/>
    <cellStyle name="Normal 4 2 5 5 4" xfId="10211" xr:uid="{0854C8AD-D53C-466E-BC68-8CE500A7207A}"/>
    <cellStyle name="Normal 4 2 5 6" xfId="2086" xr:uid="{00000000-0005-0000-0000-0000EC130000}"/>
    <cellStyle name="Normal 4 2 5 6 2" xfId="4315" xr:uid="{00000000-0005-0000-0000-0000ED130000}"/>
    <cellStyle name="Normal 4 2 5 6 2 2" xfId="8537" xr:uid="{00000000-0005-0000-0000-0000EE130000}"/>
    <cellStyle name="Normal 4 2 5 6 2 2 2" xfId="16987" xr:uid="{EBB41555-5A03-4034-9275-D8E25C4A9F40}"/>
    <cellStyle name="Normal 4 2 5 6 2 3" xfId="12769" xr:uid="{56ABAB2B-D41D-4374-BFFA-FC6E5F5208D4}"/>
    <cellStyle name="Normal 4 2 5 6 3" xfId="6392" xr:uid="{00000000-0005-0000-0000-0000EF130000}"/>
    <cellStyle name="Normal 4 2 5 6 3 2" xfId="14842" xr:uid="{48CA3B92-C0F8-4C84-9FDD-025BA77E17DA}"/>
    <cellStyle name="Normal 4 2 5 6 4" xfId="10624" xr:uid="{78F5B16E-D6B9-48E2-80D8-73474C2F8191}"/>
    <cellStyle name="Normal 4 2 5 7" xfId="2522" xr:uid="{00000000-0005-0000-0000-0000F0130000}"/>
    <cellStyle name="Normal 4 2 5 7 2" xfId="6805" xr:uid="{00000000-0005-0000-0000-0000F1130000}"/>
    <cellStyle name="Normal 4 2 5 7 2 2" xfId="15255" xr:uid="{52FD8995-E7E2-4B14-A94B-B9CA5D0F2CBF}"/>
    <cellStyle name="Normal 4 2 5 7 3" xfId="11037" xr:uid="{F01B24C2-C144-4D98-9693-6A9F18A98EC3}"/>
    <cellStyle name="Normal 4 2 5 8" xfId="4740" xr:uid="{00000000-0005-0000-0000-0000F2130000}"/>
    <cellStyle name="Normal 4 2 5 8 2" xfId="13190" xr:uid="{11187225-051F-448F-A849-80A9E152DA8B}"/>
    <cellStyle name="Normal 4 2 5 9" xfId="8972" xr:uid="{B680AEA5-6785-4320-B43B-173D22665A64}"/>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2 2 2" xfId="15750" xr:uid="{5A094E76-47FC-4224-A488-5C1AD8F3360A}"/>
    <cellStyle name="Normal 4 2 6 2 2 3" xfId="11532" xr:uid="{1151314C-175B-432D-B46D-16D7D942A82B}"/>
    <cellStyle name="Normal 4 2 6 2 3" xfId="5155" xr:uid="{00000000-0005-0000-0000-0000F7130000}"/>
    <cellStyle name="Normal 4 2 6 2 3 2" xfId="13605" xr:uid="{2B447DA9-8B29-4DD7-BD40-B6D723277C9D}"/>
    <cellStyle name="Normal 4 2 6 2 4" xfId="9387" xr:uid="{582BA949-1A1C-4EC4-B826-E18C0BCFBF2E}"/>
    <cellStyle name="Normal 4 2 6 3" xfId="1261" xr:uid="{00000000-0005-0000-0000-0000F8130000}"/>
    <cellStyle name="Normal 4 2 6 3 2" xfId="3491" xr:uid="{00000000-0005-0000-0000-0000F9130000}"/>
    <cellStyle name="Normal 4 2 6 3 2 2" xfId="7713" xr:uid="{00000000-0005-0000-0000-0000FA130000}"/>
    <cellStyle name="Normal 4 2 6 3 2 2 2" xfId="16163" xr:uid="{BB8BA7CC-1672-474E-A766-DD695741E3DE}"/>
    <cellStyle name="Normal 4 2 6 3 2 3" xfId="11945" xr:uid="{6373D83F-1595-4169-9DC8-E293D92D310C}"/>
    <cellStyle name="Normal 4 2 6 3 3" xfId="5568" xr:uid="{00000000-0005-0000-0000-0000FB130000}"/>
    <cellStyle name="Normal 4 2 6 3 3 2" xfId="14018" xr:uid="{AA895AB4-9BAD-458C-9892-4AD0EACEDC2F}"/>
    <cellStyle name="Normal 4 2 6 3 4" xfId="9800" xr:uid="{523F754D-C346-4CA4-A068-75E3099EDFBC}"/>
    <cellStyle name="Normal 4 2 6 4" xfId="1674" xr:uid="{00000000-0005-0000-0000-0000FC130000}"/>
    <cellStyle name="Normal 4 2 6 4 2" xfId="3904" xr:uid="{00000000-0005-0000-0000-0000FD130000}"/>
    <cellStyle name="Normal 4 2 6 4 2 2" xfId="8126" xr:uid="{00000000-0005-0000-0000-0000FE130000}"/>
    <cellStyle name="Normal 4 2 6 4 2 2 2" xfId="16576" xr:uid="{C1CD8109-E733-4F3A-AF5B-C133E358B790}"/>
    <cellStyle name="Normal 4 2 6 4 2 3" xfId="12358" xr:uid="{62F5E3B5-3E1F-4013-8AB6-05C564940A3E}"/>
    <cellStyle name="Normal 4 2 6 4 3" xfId="5981" xr:uid="{00000000-0005-0000-0000-0000FF130000}"/>
    <cellStyle name="Normal 4 2 6 4 3 2" xfId="14431" xr:uid="{60AC1534-52E2-4B6A-B93A-52B80E42F13D}"/>
    <cellStyle name="Normal 4 2 6 4 4" xfId="10213" xr:uid="{35BED9F4-D28A-4139-8D66-B43F1A61EBC8}"/>
    <cellStyle name="Normal 4 2 6 5" xfId="2088" xr:uid="{00000000-0005-0000-0000-000000140000}"/>
    <cellStyle name="Normal 4 2 6 5 2" xfId="4317" xr:uid="{00000000-0005-0000-0000-000001140000}"/>
    <cellStyle name="Normal 4 2 6 5 2 2" xfId="8539" xr:uid="{00000000-0005-0000-0000-000002140000}"/>
    <cellStyle name="Normal 4 2 6 5 2 2 2" xfId="16989" xr:uid="{B39F4537-C651-4C61-91C9-A60287CBFA05}"/>
    <cellStyle name="Normal 4 2 6 5 2 3" xfId="12771" xr:uid="{584F0D1F-784D-4499-8BAB-74D342AFD78B}"/>
    <cellStyle name="Normal 4 2 6 5 3" xfId="6394" xr:uid="{00000000-0005-0000-0000-000003140000}"/>
    <cellStyle name="Normal 4 2 6 5 3 2" xfId="14844" xr:uid="{73050F17-6F35-4D7C-89D1-94C42E4E0613}"/>
    <cellStyle name="Normal 4 2 6 5 4" xfId="10626" xr:uid="{63B98C19-9308-4BD1-93F0-CFA09433B68F}"/>
    <cellStyle name="Normal 4 2 6 6" xfId="2524" xr:uid="{00000000-0005-0000-0000-000004140000}"/>
    <cellStyle name="Normal 4 2 6 6 2" xfId="6807" xr:uid="{00000000-0005-0000-0000-000005140000}"/>
    <cellStyle name="Normal 4 2 6 6 2 2" xfId="15257" xr:uid="{E89BA9F2-4130-4DB9-B473-6EB3B7B2513A}"/>
    <cellStyle name="Normal 4 2 6 6 3" xfId="11039" xr:uid="{1CB5227D-0B6E-4AC0-8A72-F9C07FED14A5}"/>
    <cellStyle name="Normal 4 2 6 7" xfId="4742" xr:uid="{00000000-0005-0000-0000-000006140000}"/>
    <cellStyle name="Normal 4 2 6 7 2" xfId="13192" xr:uid="{C7AE096C-F921-4F84-BE72-606BCF2190E0}"/>
    <cellStyle name="Normal 4 2 6 8" xfId="8974" xr:uid="{A82C271B-97B6-4C10-B011-79351C34B8E1}"/>
    <cellStyle name="Normal 4 3" xfId="366" xr:uid="{00000000-0005-0000-0000-000007140000}"/>
    <cellStyle name="Normal 4 3 10" xfId="8975" xr:uid="{5DDC1E8D-6F73-46A1-A786-E32552FAA29A}"/>
    <cellStyle name="Normal 4 3 2" xfId="367" xr:uid="{00000000-0005-0000-0000-000008140000}"/>
    <cellStyle name="Normal 4 3 2 2" xfId="368" xr:uid="{00000000-0005-0000-0000-000009140000}"/>
    <cellStyle name="Normal 4 3 2 2 2" xfId="369" xr:uid="{00000000-0005-0000-0000-00000A140000}"/>
    <cellStyle name="Normal 4 3 2 2 2 10" xfId="8976" xr:uid="{FA709E8A-5BEF-4A32-8F95-79AE8EB5CF13}"/>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2 2 2" xfId="15754" xr:uid="{2EB52F5F-26DB-4A9F-8DF5-FD4B0FCDBF8E}"/>
    <cellStyle name="Normal 4 3 2 2 2 2 2 2 2 3" xfId="11536" xr:uid="{466ECFA8-601A-4348-9D17-4FC7E463D679}"/>
    <cellStyle name="Normal 4 3 2 2 2 2 2 2 3" xfId="5159" xr:uid="{00000000-0005-0000-0000-000010140000}"/>
    <cellStyle name="Normal 4 3 2 2 2 2 2 2 3 2" xfId="13609" xr:uid="{0828CE3E-3C2A-43C3-9321-E05A88083834}"/>
    <cellStyle name="Normal 4 3 2 2 2 2 2 2 4" xfId="9391" xr:uid="{E266647E-7F5B-4B87-8BB8-A0A22D9A596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2 2 2" xfId="16167" xr:uid="{912D8267-6A9B-45D1-AF77-63AEA8703549}"/>
    <cellStyle name="Normal 4 3 2 2 2 2 2 3 2 3" xfId="11949" xr:uid="{DC8EA3AF-9119-436D-96C2-10467042EBA2}"/>
    <cellStyle name="Normal 4 3 2 2 2 2 2 3 3" xfId="5572" xr:uid="{00000000-0005-0000-0000-000014140000}"/>
    <cellStyle name="Normal 4 3 2 2 2 2 2 3 3 2" xfId="14022" xr:uid="{E01AB57C-AED5-4D47-BE25-5B6E276B0F8F}"/>
    <cellStyle name="Normal 4 3 2 2 2 2 2 3 4" xfId="9804" xr:uid="{7DCC42D2-70CC-4097-BF85-E18798E8CF35}"/>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2 2 2" xfId="16580" xr:uid="{F6811612-49AE-432A-9234-8866C2546256}"/>
    <cellStyle name="Normal 4 3 2 2 2 2 2 4 2 3" xfId="12362" xr:uid="{774D9941-8220-408D-ADBF-4880A3910A2D}"/>
    <cellStyle name="Normal 4 3 2 2 2 2 2 4 3" xfId="5985" xr:uid="{00000000-0005-0000-0000-000018140000}"/>
    <cellStyle name="Normal 4 3 2 2 2 2 2 4 3 2" xfId="14435" xr:uid="{45FF3C4A-4752-4B34-8D16-E1E93B109B5F}"/>
    <cellStyle name="Normal 4 3 2 2 2 2 2 4 4" xfId="10217" xr:uid="{1B40D540-0618-4CB0-92EA-E14435CF810D}"/>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2 2 2" xfId="16993" xr:uid="{EA2C77A1-2524-4F94-A93B-30B05D69F32F}"/>
    <cellStyle name="Normal 4 3 2 2 2 2 2 5 2 3" xfId="12775" xr:uid="{E0BCF4FB-4047-479E-A42F-87A2A7A32A9E}"/>
    <cellStyle name="Normal 4 3 2 2 2 2 2 5 3" xfId="6398" xr:uid="{00000000-0005-0000-0000-00001C140000}"/>
    <cellStyle name="Normal 4 3 2 2 2 2 2 5 3 2" xfId="14848" xr:uid="{A1A9C338-2E2D-4C22-BE78-F714A3237743}"/>
    <cellStyle name="Normal 4 3 2 2 2 2 2 5 4" xfId="10630" xr:uid="{ACE0AA09-48F4-4FA8-9DCC-0329CD22030C}"/>
    <cellStyle name="Normal 4 3 2 2 2 2 2 6" xfId="2528" xr:uid="{00000000-0005-0000-0000-00001D140000}"/>
    <cellStyle name="Normal 4 3 2 2 2 2 2 6 2" xfId="6811" xr:uid="{00000000-0005-0000-0000-00001E140000}"/>
    <cellStyle name="Normal 4 3 2 2 2 2 2 6 2 2" xfId="15261" xr:uid="{E1D7EF35-97BA-4A4A-9C8E-C8B771F71B48}"/>
    <cellStyle name="Normal 4 3 2 2 2 2 2 6 3" xfId="11043" xr:uid="{75231ABE-0962-44E1-9F6C-5AF97FC54646}"/>
    <cellStyle name="Normal 4 3 2 2 2 2 2 7" xfId="4746" xr:uid="{00000000-0005-0000-0000-00001F140000}"/>
    <cellStyle name="Normal 4 3 2 2 2 2 2 7 2" xfId="13196" xr:uid="{483AA025-0D3F-47E3-A853-E9D37209CFE4}"/>
    <cellStyle name="Normal 4 3 2 2 2 2 2 8" xfId="8978" xr:uid="{B9B20FBE-FF48-482D-B0D0-91A604B0F286}"/>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2 2 2" xfId="15753" xr:uid="{CD1500E0-7A2C-4714-9F0E-9B27B0A6BB25}"/>
    <cellStyle name="Normal 4 3 2 2 2 2 3 2 3" xfId="11535" xr:uid="{C0804159-DC6A-4B48-BBD8-B7759E8CBB71}"/>
    <cellStyle name="Normal 4 3 2 2 2 2 3 3" xfId="5158" xr:uid="{00000000-0005-0000-0000-000023140000}"/>
    <cellStyle name="Normal 4 3 2 2 2 2 3 3 2" xfId="13608" xr:uid="{447D92E0-FBE2-4671-ABD3-F34F86C4955D}"/>
    <cellStyle name="Normal 4 3 2 2 2 2 3 4" xfId="9390" xr:uid="{EE13766A-A475-48B0-A216-E943975BF5C2}"/>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2 2 2" xfId="16166" xr:uid="{1F21E6E3-DFDB-4BF7-B2DC-307A85F298E8}"/>
    <cellStyle name="Normal 4 3 2 2 2 2 4 2 3" xfId="11948" xr:uid="{212F96C7-00C1-4A52-BDDD-484F3B0C521E}"/>
    <cellStyle name="Normal 4 3 2 2 2 2 4 3" xfId="5571" xr:uid="{00000000-0005-0000-0000-000027140000}"/>
    <cellStyle name="Normal 4 3 2 2 2 2 4 3 2" xfId="14021" xr:uid="{4942B120-7B3A-4A03-8CE7-083935A02F35}"/>
    <cellStyle name="Normal 4 3 2 2 2 2 4 4" xfId="9803" xr:uid="{8E46DED3-915B-4C03-ADC7-60C63102299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2 2 2" xfId="16579" xr:uid="{4C193511-7025-41F5-BFA3-9EA393DFADBB}"/>
    <cellStyle name="Normal 4 3 2 2 2 2 5 2 3" xfId="12361" xr:uid="{BBC6F6A9-E0B2-4E07-9FD3-186B74F9A7E8}"/>
    <cellStyle name="Normal 4 3 2 2 2 2 5 3" xfId="5984" xr:uid="{00000000-0005-0000-0000-00002B140000}"/>
    <cellStyle name="Normal 4 3 2 2 2 2 5 3 2" xfId="14434" xr:uid="{DADE8659-FB10-4D8A-B7EC-107415DA9394}"/>
    <cellStyle name="Normal 4 3 2 2 2 2 5 4" xfId="10216" xr:uid="{50CCA742-5559-4253-9314-1610373B1C24}"/>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2 2 2" xfId="16992" xr:uid="{798274BD-DE99-4242-AAD8-5D09A36D9756}"/>
    <cellStyle name="Normal 4 3 2 2 2 2 6 2 3" xfId="12774" xr:uid="{377F677B-1259-405F-B68F-963D9EEF69C6}"/>
    <cellStyle name="Normal 4 3 2 2 2 2 6 3" xfId="6397" xr:uid="{00000000-0005-0000-0000-00002F140000}"/>
    <cellStyle name="Normal 4 3 2 2 2 2 6 3 2" xfId="14847" xr:uid="{7D99AEC3-74FF-4C19-9900-0CCCBE7EA385}"/>
    <cellStyle name="Normal 4 3 2 2 2 2 6 4" xfId="10629" xr:uid="{BAB0B731-4E47-4A8E-B73D-B977E0A3AFA4}"/>
    <cellStyle name="Normal 4 3 2 2 2 2 7" xfId="2527" xr:uid="{00000000-0005-0000-0000-000030140000}"/>
    <cellStyle name="Normal 4 3 2 2 2 2 7 2" xfId="6810" xr:uid="{00000000-0005-0000-0000-000031140000}"/>
    <cellStyle name="Normal 4 3 2 2 2 2 7 2 2" xfId="15260" xr:uid="{A6C10A85-4BE3-43FA-ABB0-321E685C5C38}"/>
    <cellStyle name="Normal 4 3 2 2 2 2 7 3" xfId="11042" xr:uid="{16E59A08-931C-4F53-93E2-C1C8C7C6E7F2}"/>
    <cellStyle name="Normal 4 3 2 2 2 2 8" xfId="4745" xr:uid="{00000000-0005-0000-0000-000032140000}"/>
    <cellStyle name="Normal 4 3 2 2 2 2 8 2" xfId="13195" xr:uid="{5F8A2606-271C-42A9-BE0E-4B96B4210FAE}"/>
    <cellStyle name="Normal 4 3 2 2 2 2 9" xfId="8977" xr:uid="{F26D4259-C23B-4D16-86DB-2F56BCD76E16}"/>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2 2 2" xfId="15755" xr:uid="{7B8A9C79-A4A4-4094-9A29-6B79161CF43D}"/>
    <cellStyle name="Normal 4 3 2 2 2 3 2 2 3" xfId="11537" xr:uid="{3900F8DB-5953-44F3-84DC-CAC8B2DBA19F}"/>
    <cellStyle name="Normal 4 3 2 2 2 3 2 3" xfId="5160" xr:uid="{00000000-0005-0000-0000-000037140000}"/>
    <cellStyle name="Normal 4 3 2 2 2 3 2 3 2" xfId="13610" xr:uid="{DE655DA1-F06F-4BCF-A896-73A80AE649B8}"/>
    <cellStyle name="Normal 4 3 2 2 2 3 2 4" xfId="9392" xr:uid="{7457E957-853B-422E-B47B-C463CB23716F}"/>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2 2 2" xfId="16168" xr:uid="{8A4D979E-16DB-4754-9C39-5C2A318C328B}"/>
    <cellStyle name="Normal 4 3 2 2 2 3 3 2 3" xfId="11950" xr:uid="{DCDFDAF8-2661-45DA-A65C-7011DDDCD584}"/>
    <cellStyle name="Normal 4 3 2 2 2 3 3 3" xfId="5573" xr:uid="{00000000-0005-0000-0000-00003B140000}"/>
    <cellStyle name="Normal 4 3 2 2 2 3 3 3 2" xfId="14023" xr:uid="{9E77CAE7-2B9B-4306-985B-403703C207A5}"/>
    <cellStyle name="Normal 4 3 2 2 2 3 3 4" xfId="9805" xr:uid="{33DCB2E9-7061-41F8-9511-81BD3CF06EA7}"/>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2 2 2" xfId="16581" xr:uid="{97077265-F9E1-470E-A8DF-1CF4B72F95DC}"/>
    <cellStyle name="Normal 4 3 2 2 2 3 4 2 3" xfId="12363" xr:uid="{F4CEF8BC-4240-41FD-A744-582876933611}"/>
    <cellStyle name="Normal 4 3 2 2 2 3 4 3" xfId="5986" xr:uid="{00000000-0005-0000-0000-00003F140000}"/>
    <cellStyle name="Normal 4 3 2 2 2 3 4 3 2" xfId="14436" xr:uid="{E26607A2-AFE8-462A-BBA6-62B1244A98E4}"/>
    <cellStyle name="Normal 4 3 2 2 2 3 4 4" xfId="10218" xr:uid="{A6F8D5EA-69EF-4630-8393-75691858004F}"/>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2 2 2" xfId="16994" xr:uid="{28F2B849-31CA-448B-A074-03765FB8E486}"/>
    <cellStyle name="Normal 4 3 2 2 2 3 5 2 3" xfId="12776" xr:uid="{D2B56F8D-6189-47A5-A3CB-BB5C82B13E8C}"/>
    <cellStyle name="Normal 4 3 2 2 2 3 5 3" xfId="6399" xr:uid="{00000000-0005-0000-0000-000043140000}"/>
    <cellStyle name="Normal 4 3 2 2 2 3 5 3 2" xfId="14849" xr:uid="{16784666-7449-4402-90B4-54AB4CA9B145}"/>
    <cellStyle name="Normal 4 3 2 2 2 3 5 4" xfId="10631" xr:uid="{50CB7B16-55DD-4C30-BCEB-5639DDF96E94}"/>
    <cellStyle name="Normal 4 3 2 2 2 3 6" xfId="2529" xr:uid="{00000000-0005-0000-0000-000044140000}"/>
    <cellStyle name="Normal 4 3 2 2 2 3 6 2" xfId="6812" xr:uid="{00000000-0005-0000-0000-000045140000}"/>
    <cellStyle name="Normal 4 3 2 2 2 3 6 2 2" xfId="15262" xr:uid="{B9CCB967-0892-4B52-A3C2-DB93FAF03729}"/>
    <cellStyle name="Normal 4 3 2 2 2 3 6 3" xfId="11044" xr:uid="{AE502883-DE1F-4647-B894-E55EBC7343FF}"/>
    <cellStyle name="Normal 4 3 2 2 2 3 7" xfId="4747" xr:uid="{00000000-0005-0000-0000-000046140000}"/>
    <cellStyle name="Normal 4 3 2 2 2 3 7 2" xfId="13197" xr:uid="{D1A99034-564A-45DE-9D78-3DFD0A96D3AF}"/>
    <cellStyle name="Normal 4 3 2 2 2 3 8" xfId="8979" xr:uid="{40FEE3A2-6FAF-4C49-9B0E-6BA1D5F721FE}"/>
    <cellStyle name="Normal 4 3 2 2 2 4" xfId="844" xr:uid="{00000000-0005-0000-0000-000047140000}"/>
    <cellStyle name="Normal 4 3 2 2 2 4 2" xfId="3080" xr:uid="{00000000-0005-0000-0000-000048140000}"/>
    <cellStyle name="Normal 4 3 2 2 2 4 2 2" xfId="7302" xr:uid="{00000000-0005-0000-0000-000049140000}"/>
    <cellStyle name="Normal 4 3 2 2 2 4 2 2 2" xfId="15752" xr:uid="{1EE4EA06-781A-4293-80A9-4C5F27BAD586}"/>
    <cellStyle name="Normal 4 3 2 2 2 4 2 3" xfId="11534" xr:uid="{D5A0CE9B-1ED8-4A10-BFBD-4F45A6E3E68D}"/>
    <cellStyle name="Normal 4 3 2 2 2 4 3" xfId="5157" xr:uid="{00000000-0005-0000-0000-00004A140000}"/>
    <cellStyle name="Normal 4 3 2 2 2 4 3 2" xfId="13607" xr:uid="{026570DD-766C-491F-9449-6B15C299FA17}"/>
    <cellStyle name="Normal 4 3 2 2 2 4 4" xfId="9389" xr:uid="{10E500D4-2A5A-4901-A372-EECEF6B4B8C8}"/>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2 2 2" xfId="16165" xr:uid="{CA846F7D-3F34-41EA-97BB-9A538FB365CB}"/>
    <cellStyle name="Normal 4 3 2 2 2 5 2 3" xfId="11947" xr:uid="{6620A3B0-D58F-4DA1-98E6-A31C5E9A5307}"/>
    <cellStyle name="Normal 4 3 2 2 2 5 3" xfId="5570" xr:uid="{00000000-0005-0000-0000-00004E140000}"/>
    <cellStyle name="Normal 4 3 2 2 2 5 3 2" xfId="14020" xr:uid="{98971CDC-7B59-45E0-B296-A0624B47F709}"/>
    <cellStyle name="Normal 4 3 2 2 2 5 4" xfId="9802" xr:uid="{5CF63CF9-E4DF-4EC9-9D04-4137F57EC599}"/>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2 2 2" xfId="16578" xr:uid="{2AC213C0-21AF-47F6-A4C5-BEC8E15B7F55}"/>
    <cellStyle name="Normal 4 3 2 2 2 6 2 3" xfId="12360" xr:uid="{F73948AA-0843-41F7-81E5-9E52BC855299}"/>
    <cellStyle name="Normal 4 3 2 2 2 6 3" xfId="5983" xr:uid="{00000000-0005-0000-0000-000052140000}"/>
    <cellStyle name="Normal 4 3 2 2 2 6 3 2" xfId="14433" xr:uid="{5617CC9F-F865-4B0F-B68F-647501386DDE}"/>
    <cellStyle name="Normal 4 3 2 2 2 6 4" xfId="10215" xr:uid="{B0275B6A-BE44-419F-B015-DD75EF5737AA}"/>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2 2 2" xfId="16991" xr:uid="{5F045F0B-1FF6-4AEA-8E52-7EF1FDE39923}"/>
    <cellStyle name="Normal 4 3 2 2 2 7 2 3" xfId="12773" xr:uid="{BFC42EFA-51E8-47E2-BD59-FF0BA6BA049E}"/>
    <cellStyle name="Normal 4 3 2 2 2 7 3" xfId="6396" xr:uid="{00000000-0005-0000-0000-000056140000}"/>
    <cellStyle name="Normal 4 3 2 2 2 7 3 2" xfId="14846" xr:uid="{335B185C-D996-481E-A79C-ACD15DFCD935}"/>
    <cellStyle name="Normal 4 3 2 2 2 7 4" xfId="10628" xr:uid="{A481823A-13BA-4277-B28E-5EC6DCE013C2}"/>
    <cellStyle name="Normal 4 3 2 2 2 8" xfId="2526" xr:uid="{00000000-0005-0000-0000-000057140000}"/>
    <cellStyle name="Normal 4 3 2 2 2 8 2" xfId="6809" xr:uid="{00000000-0005-0000-0000-000058140000}"/>
    <cellStyle name="Normal 4 3 2 2 2 8 2 2" xfId="15259" xr:uid="{E928876A-A427-4431-929E-A02DC57FBC34}"/>
    <cellStyle name="Normal 4 3 2 2 2 8 3" xfId="11041" xr:uid="{5F649E12-7979-4451-AD05-78AE0A291439}"/>
    <cellStyle name="Normal 4 3 2 2 2 9" xfId="4744" xr:uid="{00000000-0005-0000-0000-000059140000}"/>
    <cellStyle name="Normal 4 3 2 2 2 9 2" xfId="13194" xr:uid="{0925A806-F695-4E2F-B861-FCFBA8553C56}"/>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80" xr:uid="{2EAA8908-D7AF-47A0-8955-159A7AFDDC1E}"/>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2 2 2" xfId="15758" xr:uid="{8AD85AA3-DAC7-48EF-A0ED-CA3CBA459926}"/>
    <cellStyle name="Normal 4 3 3 2 2 2 2 3" xfId="11540" xr:uid="{4F92680C-96C7-43D4-A4E4-A7CBB3256742}"/>
    <cellStyle name="Normal 4 3 3 2 2 2 3" xfId="5163" xr:uid="{00000000-0005-0000-0000-000063140000}"/>
    <cellStyle name="Normal 4 3 3 2 2 2 3 2" xfId="13613" xr:uid="{7E6B38D0-5DC4-4D64-A11C-ABD520E30F35}"/>
    <cellStyle name="Normal 4 3 3 2 2 2 4" xfId="9395" xr:uid="{2D6C49BC-6FC1-4BA7-9703-2437CDC51CA7}"/>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2 2 2" xfId="16171" xr:uid="{92A6841E-2952-4546-9E58-7AA1644A73B1}"/>
    <cellStyle name="Normal 4 3 3 2 2 3 2 3" xfId="11953" xr:uid="{38CF4235-1E4C-403C-9C56-532E16062159}"/>
    <cellStyle name="Normal 4 3 3 2 2 3 3" xfId="5576" xr:uid="{00000000-0005-0000-0000-000067140000}"/>
    <cellStyle name="Normal 4 3 3 2 2 3 3 2" xfId="14026" xr:uid="{0CC222C9-7BDF-423A-995B-831593B4981A}"/>
    <cellStyle name="Normal 4 3 3 2 2 3 4" xfId="9808" xr:uid="{7444DCDC-668A-4BE0-955D-F545B00EC62E}"/>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2 2 2" xfId="16584" xr:uid="{BBBB510D-5119-4578-82AA-2355FF3A8C6A}"/>
    <cellStyle name="Normal 4 3 3 2 2 4 2 3" xfId="12366" xr:uid="{D76C4F2B-44A0-4B64-AB1C-E51D08F5A1DC}"/>
    <cellStyle name="Normal 4 3 3 2 2 4 3" xfId="5989" xr:uid="{00000000-0005-0000-0000-00006B140000}"/>
    <cellStyle name="Normal 4 3 3 2 2 4 3 2" xfId="14439" xr:uid="{A1EB7747-9B09-472D-835A-62BDA6051BA4}"/>
    <cellStyle name="Normal 4 3 3 2 2 4 4" xfId="10221" xr:uid="{BC534940-B36F-457B-9EC1-698930B383DB}"/>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2 2 2" xfId="16997" xr:uid="{0FD35C40-8B9F-4A03-9A0C-71E8EEAA6B89}"/>
    <cellStyle name="Normal 4 3 3 2 2 5 2 3" xfId="12779" xr:uid="{71EF3320-D476-4E2F-844A-C66D783B295B}"/>
    <cellStyle name="Normal 4 3 3 2 2 5 3" xfId="6402" xr:uid="{00000000-0005-0000-0000-00006F140000}"/>
    <cellStyle name="Normal 4 3 3 2 2 5 3 2" xfId="14852" xr:uid="{9252CA23-7FDB-4726-913E-68B999A1C50C}"/>
    <cellStyle name="Normal 4 3 3 2 2 5 4" xfId="10634" xr:uid="{FE53DCA0-8FAB-49E2-9B68-490ED49D38DB}"/>
    <cellStyle name="Normal 4 3 3 2 2 6" xfId="2532" xr:uid="{00000000-0005-0000-0000-000070140000}"/>
    <cellStyle name="Normal 4 3 3 2 2 6 2" xfId="6815" xr:uid="{00000000-0005-0000-0000-000071140000}"/>
    <cellStyle name="Normal 4 3 3 2 2 6 2 2" xfId="15265" xr:uid="{6987E9B0-5434-4F37-BE82-745EA9BD367F}"/>
    <cellStyle name="Normal 4 3 3 2 2 6 3" xfId="11047" xr:uid="{E0BE5404-2756-45AF-B5B8-5E686F485C52}"/>
    <cellStyle name="Normal 4 3 3 2 2 7" xfId="4750" xr:uid="{00000000-0005-0000-0000-000072140000}"/>
    <cellStyle name="Normal 4 3 3 2 2 7 2" xfId="13200" xr:uid="{04D3E276-ABB2-49F1-AFE2-CB807EF41AAB}"/>
    <cellStyle name="Normal 4 3 3 2 2 8" xfId="8982" xr:uid="{7B8C9BF4-9908-4ECA-8CE9-01DDC5D080DC}"/>
    <cellStyle name="Normal 4 3 3 2 3" xfId="850" xr:uid="{00000000-0005-0000-0000-000073140000}"/>
    <cellStyle name="Normal 4 3 3 2 3 2" xfId="3085" xr:uid="{00000000-0005-0000-0000-000074140000}"/>
    <cellStyle name="Normal 4 3 3 2 3 2 2" xfId="7307" xr:uid="{00000000-0005-0000-0000-000075140000}"/>
    <cellStyle name="Normal 4 3 3 2 3 2 2 2" xfId="15757" xr:uid="{B99E3CBD-FAA4-494B-BBBE-5259997E2DCB}"/>
    <cellStyle name="Normal 4 3 3 2 3 2 3" xfId="11539" xr:uid="{2C9921FD-C8E4-4F5F-8C8B-5C6CA2A3D430}"/>
    <cellStyle name="Normal 4 3 3 2 3 3" xfId="5162" xr:uid="{00000000-0005-0000-0000-000076140000}"/>
    <cellStyle name="Normal 4 3 3 2 3 3 2" xfId="13612" xr:uid="{8F69109E-31E4-47AF-A536-C60F019834E0}"/>
    <cellStyle name="Normal 4 3 3 2 3 4" xfId="9394" xr:uid="{E47C3F53-83C3-4571-8C00-18F38780D2A8}"/>
    <cellStyle name="Normal 4 3 3 2 4" xfId="1268" xr:uid="{00000000-0005-0000-0000-000077140000}"/>
    <cellStyle name="Normal 4 3 3 2 4 2" xfId="3498" xr:uid="{00000000-0005-0000-0000-000078140000}"/>
    <cellStyle name="Normal 4 3 3 2 4 2 2" xfId="7720" xr:uid="{00000000-0005-0000-0000-000079140000}"/>
    <cellStyle name="Normal 4 3 3 2 4 2 2 2" xfId="16170" xr:uid="{F52EECD5-7B00-478C-BADE-8432F0574434}"/>
    <cellStyle name="Normal 4 3 3 2 4 2 3" xfId="11952" xr:uid="{37CF7C0C-6343-4A9C-ADD8-A878CE7AC3EB}"/>
    <cellStyle name="Normal 4 3 3 2 4 3" xfId="5575" xr:uid="{00000000-0005-0000-0000-00007A140000}"/>
    <cellStyle name="Normal 4 3 3 2 4 3 2" xfId="14025" xr:uid="{CF34F37A-4DEC-4F4C-9805-7E2374FEF2AF}"/>
    <cellStyle name="Normal 4 3 3 2 4 4" xfId="9807" xr:uid="{6929F195-61B3-4773-9A45-869F09AF40A6}"/>
    <cellStyle name="Normal 4 3 3 2 5" xfId="1681" xr:uid="{00000000-0005-0000-0000-00007B140000}"/>
    <cellStyle name="Normal 4 3 3 2 5 2" xfId="3911" xr:uid="{00000000-0005-0000-0000-00007C140000}"/>
    <cellStyle name="Normal 4 3 3 2 5 2 2" xfId="8133" xr:uid="{00000000-0005-0000-0000-00007D140000}"/>
    <cellStyle name="Normal 4 3 3 2 5 2 2 2" xfId="16583" xr:uid="{CFFC0BE8-E423-4469-BD1E-B77B62633967}"/>
    <cellStyle name="Normal 4 3 3 2 5 2 3" xfId="12365" xr:uid="{E83245DB-5975-4151-9BA6-C81101337572}"/>
    <cellStyle name="Normal 4 3 3 2 5 3" xfId="5988" xr:uid="{00000000-0005-0000-0000-00007E140000}"/>
    <cellStyle name="Normal 4 3 3 2 5 3 2" xfId="14438" xr:uid="{EA752B18-3B82-4ED9-AB15-4A1935F39FB6}"/>
    <cellStyle name="Normal 4 3 3 2 5 4" xfId="10220" xr:uid="{F28E66C5-F8A6-44A6-96AB-2B0AB25F3945}"/>
    <cellStyle name="Normal 4 3 3 2 6" xfId="2095" xr:uid="{00000000-0005-0000-0000-00007F140000}"/>
    <cellStyle name="Normal 4 3 3 2 6 2" xfId="4324" xr:uid="{00000000-0005-0000-0000-000080140000}"/>
    <cellStyle name="Normal 4 3 3 2 6 2 2" xfId="8546" xr:uid="{00000000-0005-0000-0000-000081140000}"/>
    <cellStyle name="Normal 4 3 3 2 6 2 2 2" xfId="16996" xr:uid="{1338C196-7722-4739-B5B5-E58580EBD4CD}"/>
    <cellStyle name="Normal 4 3 3 2 6 2 3" xfId="12778" xr:uid="{BC890E49-8E0C-4946-ADD0-B1D675F17076}"/>
    <cellStyle name="Normal 4 3 3 2 6 3" xfId="6401" xr:uid="{00000000-0005-0000-0000-000082140000}"/>
    <cellStyle name="Normal 4 3 3 2 6 3 2" xfId="14851" xr:uid="{52A67E00-73AA-444C-A86E-0BFEBAE87852}"/>
    <cellStyle name="Normal 4 3 3 2 6 4" xfId="10633" xr:uid="{1AE9E70A-C777-465A-8245-A9B52D572577}"/>
    <cellStyle name="Normal 4 3 3 2 7" xfId="2531" xr:uid="{00000000-0005-0000-0000-000083140000}"/>
    <cellStyle name="Normal 4 3 3 2 7 2" xfId="6814" xr:uid="{00000000-0005-0000-0000-000084140000}"/>
    <cellStyle name="Normal 4 3 3 2 7 2 2" xfId="15264" xr:uid="{975AA35C-4281-4592-A248-8FCDD31A2A08}"/>
    <cellStyle name="Normal 4 3 3 2 7 3" xfId="11046" xr:uid="{4E73930E-8C36-4C4F-B3C1-7CCEA87AE613}"/>
    <cellStyle name="Normal 4 3 3 2 8" xfId="4749" xr:uid="{00000000-0005-0000-0000-000085140000}"/>
    <cellStyle name="Normal 4 3 3 2 8 2" xfId="13199" xr:uid="{E14DC638-BDC0-428E-A62A-DAABF1F41E11}"/>
    <cellStyle name="Normal 4 3 3 2 9" xfId="8981" xr:uid="{45E32507-B450-46F5-8AB0-39D6916193E2}"/>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2 2 2" xfId="15759" xr:uid="{1118EEF4-323C-40C8-8E44-9DAAD42E0DA5}"/>
    <cellStyle name="Normal 4 3 3 3 2 2 3" xfId="11541" xr:uid="{10E40C6C-F920-4348-A79F-FDC4EC7F193B}"/>
    <cellStyle name="Normal 4 3 3 3 2 3" xfId="5164" xr:uid="{00000000-0005-0000-0000-00008A140000}"/>
    <cellStyle name="Normal 4 3 3 3 2 3 2" xfId="13614" xr:uid="{E5DB413B-D039-454F-80AB-57EDE062EF4C}"/>
    <cellStyle name="Normal 4 3 3 3 2 4" xfId="9396" xr:uid="{467A2D3D-8C27-4A01-9C3D-F16DFB990171}"/>
    <cellStyle name="Normal 4 3 3 3 3" xfId="1270" xr:uid="{00000000-0005-0000-0000-00008B140000}"/>
    <cellStyle name="Normal 4 3 3 3 3 2" xfId="3500" xr:uid="{00000000-0005-0000-0000-00008C140000}"/>
    <cellStyle name="Normal 4 3 3 3 3 2 2" xfId="7722" xr:uid="{00000000-0005-0000-0000-00008D140000}"/>
    <cellStyle name="Normal 4 3 3 3 3 2 2 2" xfId="16172" xr:uid="{D4403740-C94D-4CF7-A6CF-04F513CE71A6}"/>
    <cellStyle name="Normal 4 3 3 3 3 2 3" xfId="11954" xr:uid="{1AD0AF0B-0760-4200-91A1-ED97A9E9904A}"/>
    <cellStyle name="Normal 4 3 3 3 3 3" xfId="5577" xr:uid="{00000000-0005-0000-0000-00008E140000}"/>
    <cellStyle name="Normal 4 3 3 3 3 3 2" xfId="14027" xr:uid="{6B78A811-67F6-4260-BED8-5BF9BE2F1E75}"/>
    <cellStyle name="Normal 4 3 3 3 3 4" xfId="9809" xr:uid="{A9AD2287-6C65-4DC1-BF35-EAFFA30369FB}"/>
    <cellStyle name="Normal 4 3 3 3 4" xfId="1683" xr:uid="{00000000-0005-0000-0000-00008F140000}"/>
    <cellStyle name="Normal 4 3 3 3 4 2" xfId="3913" xr:uid="{00000000-0005-0000-0000-000090140000}"/>
    <cellStyle name="Normal 4 3 3 3 4 2 2" xfId="8135" xr:uid="{00000000-0005-0000-0000-000091140000}"/>
    <cellStyle name="Normal 4 3 3 3 4 2 2 2" xfId="16585" xr:uid="{E9F760F6-B7F3-4488-AB38-1145866B7A71}"/>
    <cellStyle name="Normal 4 3 3 3 4 2 3" xfId="12367" xr:uid="{A48543F3-80FA-41F4-98B5-997EA9CBACE3}"/>
    <cellStyle name="Normal 4 3 3 3 4 3" xfId="5990" xr:uid="{00000000-0005-0000-0000-000092140000}"/>
    <cellStyle name="Normal 4 3 3 3 4 3 2" xfId="14440" xr:uid="{D9F8DCF2-3C65-4046-8D69-AF6A54DBFA38}"/>
    <cellStyle name="Normal 4 3 3 3 4 4" xfId="10222" xr:uid="{98AACDC8-DFFD-4048-B11A-00D63965BA74}"/>
    <cellStyle name="Normal 4 3 3 3 5" xfId="2097" xr:uid="{00000000-0005-0000-0000-000093140000}"/>
    <cellStyle name="Normal 4 3 3 3 5 2" xfId="4326" xr:uid="{00000000-0005-0000-0000-000094140000}"/>
    <cellStyle name="Normal 4 3 3 3 5 2 2" xfId="8548" xr:uid="{00000000-0005-0000-0000-000095140000}"/>
    <cellStyle name="Normal 4 3 3 3 5 2 2 2" xfId="16998" xr:uid="{CAF6011B-76BD-404E-972A-504FA83C7A41}"/>
    <cellStyle name="Normal 4 3 3 3 5 2 3" xfId="12780" xr:uid="{CEE75097-EFD0-44CA-B60E-D1E30DEBDB86}"/>
    <cellStyle name="Normal 4 3 3 3 5 3" xfId="6403" xr:uid="{00000000-0005-0000-0000-000096140000}"/>
    <cellStyle name="Normal 4 3 3 3 5 3 2" xfId="14853" xr:uid="{0C94B489-72C2-4ADD-890A-A68A0DA5DEFE}"/>
    <cellStyle name="Normal 4 3 3 3 5 4" xfId="10635" xr:uid="{7FA4B65C-DFD7-44B1-87F9-EB11B109A831}"/>
    <cellStyle name="Normal 4 3 3 3 6" xfId="2533" xr:uid="{00000000-0005-0000-0000-000097140000}"/>
    <cellStyle name="Normal 4 3 3 3 6 2" xfId="6816" xr:uid="{00000000-0005-0000-0000-000098140000}"/>
    <cellStyle name="Normal 4 3 3 3 6 2 2" xfId="15266" xr:uid="{3BD33540-6A74-40D5-BD50-AC675BE48F8C}"/>
    <cellStyle name="Normal 4 3 3 3 6 3" xfId="11048" xr:uid="{ECF1DE4E-F76F-4F15-963E-AE36CB2F5B2E}"/>
    <cellStyle name="Normal 4 3 3 3 7" xfId="4751" xr:uid="{00000000-0005-0000-0000-000099140000}"/>
    <cellStyle name="Normal 4 3 3 3 7 2" xfId="13201" xr:uid="{E36E2479-7791-46AD-8FF2-61F70AD31C0D}"/>
    <cellStyle name="Normal 4 3 3 3 8" xfId="8983" xr:uid="{106B9A51-40CD-43A6-B001-9C64BCB6186C}"/>
    <cellStyle name="Normal 4 3 3 4" xfId="849" xr:uid="{00000000-0005-0000-0000-00009A140000}"/>
    <cellStyle name="Normal 4 3 3 4 2" xfId="3084" xr:uid="{00000000-0005-0000-0000-00009B140000}"/>
    <cellStyle name="Normal 4 3 3 4 2 2" xfId="7306" xr:uid="{00000000-0005-0000-0000-00009C140000}"/>
    <cellStyle name="Normal 4 3 3 4 2 2 2" xfId="15756" xr:uid="{921FF176-847A-4343-9251-F6F314F1C4E8}"/>
    <cellStyle name="Normal 4 3 3 4 2 3" xfId="11538" xr:uid="{C2990BF6-CCA3-4D1D-A7DB-0891CAA8A63D}"/>
    <cellStyle name="Normal 4 3 3 4 3" xfId="5161" xr:uid="{00000000-0005-0000-0000-00009D140000}"/>
    <cellStyle name="Normal 4 3 3 4 3 2" xfId="13611" xr:uid="{A4954799-0129-4AB0-AC04-C0D6EEE0182A}"/>
    <cellStyle name="Normal 4 3 3 4 4" xfId="9393" xr:uid="{2298E0AE-D325-46C9-AC8D-3497542957FA}"/>
    <cellStyle name="Normal 4 3 3 5" xfId="1267" xr:uid="{00000000-0005-0000-0000-00009E140000}"/>
    <cellStyle name="Normal 4 3 3 5 2" xfId="3497" xr:uid="{00000000-0005-0000-0000-00009F140000}"/>
    <cellStyle name="Normal 4 3 3 5 2 2" xfId="7719" xr:uid="{00000000-0005-0000-0000-0000A0140000}"/>
    <cellStyle name="Normal 4 3 3 5 2 2 2" xfId="16169" xr:uid="{65BBDE11-21A9-45CE-BBC1-1F4EDF6B3E93}"/>
    <cellStyle name="Normal 4 3 3 5 2 3" xfId="11951" xr:uid="{54B6B271-34F6-4E6E-B8A3-80CB2CACBA09}"/>
    <cellStyle name="Normal 4 3 3 5 3" xfId="5574" xr:uid="{00000000-0005-0000-0000-0000A1140000}"/>
    <cellStyle name="Normal 4 3 3 5 3 2" xfId="14024" xr:uid="{9E3853E3-7E7E-4983-B40F-367C26E835F8}"/>
    <cellStyle name="Normal 4 3 3 5 4" xfId="9806" xr:uid="{99DC2A84-FD3E-4E35-AF89-72E5AF224A14}"/>
    <cellStyle name="Normal 4 3 3 6" xfId="1680" xr:uid="{00000000-0005-0000-0000-0000A2140000}"/>
    <cellStyle name="Normal 4 3 3 6 2" xfId="3910" xr:uid="{00000000-0005-0000-0000-0000A3140000}"/>
    <cellStyle name="Normal 4 3 3 6 2 2" xfId="8132" xr:uid="{00000000-0005-0000-0000-0000A4140000}"/>
    <cellStyle name="Normal 4 3 3 6 2 2 2" xfId="16582" xr:uid="{99D439FE-B190-4E39-A18A-EA76B8BA2784}"/>
    <cellStyle name="Normal 4 3 3 6 2 3" xfId="12364" xr:uid="{1A290BB2-08AC-443C-A2A1-CAC6F17ADB5B}"/>
    <cellStyle name="Normal 4 3 3 6 3" xfId="5987" xr:uid="{00000000-0005-0000-0000-0000A5140000}"/>
    <cellStyle name="Normal 4 3 3 6 3 2" xfId="14437" xr:uid="{13352DFD-FECC-4ABB-BB98-D6A3E7C9AD17}"/>
    <cellStyle name="Normal 4 3 3 6 4" xfId="10219" xr:uid="{8ECF930D-EF34-4E60-8DEC-7E0821F73CDE}"/>
    <cellStyle name="Normal 4 3 3 7" xfId="2094" xr:uid="{00000000-0005-0000-0000-0000A6140000}"/>
    <cellStyle name="Normal 4 3 3 7 2" xfId="4323" xr:uid="{00000000-0005-0000-0000-0000A7140000}"/>
    <cellStyle name="Normal 4 3 3 7 2 2" xfId="8545" xr:uid="{00000000-0005-0000-0000-0000A8140000}"/>
    <cellStyle name="Normal 4 3 3 7 2 2 2" xfId="16995" xr:uid="{A7F9CDC8-63BD-4588-A4C1-A5F464144B32}"/>
    <cellStyle name="Normal 4 3 3 7 2 3" xfId="12777" xr:uid="{BF58A5F2-44A6-4F4E-9B28-5A0B87EB2665}"/>
    <cellStyle name="Normal 4 3 3 7 3" xfId="6400" xr:uid="{00000000-0005-0000-0000-0000A9140000}"/>
    <cellStyle name="Normal 4 3 3 7 3 2" xfId="14850" xr:uid="{922346A7-AC7C-414A-8632-5EF0454CF020}"/>
    <cellStyle name="Normal 4 3 3 7 4" xfId="10632" xr:uid="{8878AAD8-FA48-4150-A7D3-7DD7020FDBE4}"/>
    <cellStyle name="Normal 4 3 3 8" xfId="2530" xr:uid="{00000000-0005-0000-0000-0000AA140000}"/>
    <cellStyle name="Normal 4 3 3 8 2" xfId="6813" xr:uid="{00000000-0005-0000-0000-0000AB140000}"/>
    <cellStyle name="Normal 4 3 3 8 2 2" xfId="15263" xr:uid="{B3DD9E6B-E842-432C-A1E7-3AB22C3DD89A}"/>
    <cellStyle name="Normal 4 3 3 8 3" xfId="11045" xr:uid="{A6ACA7A9-D935-4CA0-B05E-0AFA8F43B97F}"/>
    <cellStyle name="Normal 4 3 3 9" xfId="4748" xr:uid="{00000000-0005-0000-0000-0000AC140000}"/>
    <cellStyle name="Normal 4 3 3 9 2" xfId="13198" xr:uid="{5BA0F316-1823-4840-BC34-8A3C135A40B2}"/>
    <cellStyle name="Normal 4 3 4" xfId="842" xr:uid="{00000000-0005-0000-0000-0000AD140000}"/>
    <cellStyle name="Normal 4 3 4 2" xfId="3079" xr:uid="{00000000-0005-0000-0000-0000AE140000}"/>
    <cellStyle name="Normal 4 3 4 2 2" xfId="7301" xr:uid="{00000000-0005-0000-0000-0000AF140000}"/>
    <cellStyle name="Normal 4 3 4 2 2 2" xfId="15751" xr:uid="{526CB047-6CA8-4CC3-937F-1A7C416895F7}"/>
    <cellStyle name="Normal 4 3 4 2 3" xfId="11533" xr:uid="{AC618CA4-DD06-42AA-8642-90297A49480D}"/>
    <cellStyle name="Normal 4 3 4 3" xfId="5156" xr:uid="{00000000-0005-0000-0000-0000B0140000}"/>
    <cellStyle name="Normal 4 3 4 3 2" xfId="13606" xr:uid="{645CF160-6973-485A-8122-764E9C12716E}"/>
    <cellStyle name="Normal 4 3 4 4" xfId="9388" xr:uid="{4CF061B2-8811-4C09-B1AF-C9240B3AA694}"/>
    <cellStyle name="Normal 4 3 5" xfId="1262" xr:uid="{00000000-0005-0000-0000-0000B1140000}"/>
    <cellStyle name="Normal 4 3 5 2" xfId="3492" xr:uid="{00000000-0005-0000-0000-0000B2140000}"/>
    <cellStyle name="Normal 4 3 5 2 2" xfId="7714" xr:uid="{00000000-0005-0000-0000-0000B3140000}"/>
    <cellStyle name="Normal 4 3 5 2 2 2" xfId="16164" xr:uid="{6D99EE91-35C5-4957-8537-11E6F0D5B563}"/>
    <cellStyle name="Normal 4 3 5 2 3" xfId="11946" xr:uid="{8E47770D-BE34-4A76-9B07-7EF9ECBB2DAD}"/>
    <cellStyle name="Normal 4 3 5 3" xfId="5569" xr:uid="{00000000-0005-0000-0000-0000B4140000}"/>
    <cellStyle name="Normal 4 3 5 3 2" xfId="14019" xr:uid="{E71A9687-EF5B-4185-9E8F-6F6A46107F45}"/>
    <cellStyle name="Normal 4 3 5 4" xfId="9801" xr:uid="{9ACE2A6E-6301-4AFB-B025-634EFB8129F5}"/>
    <cellStyle name="Normal 4 3 6" xfId="1675" xr:uid="{00000000-0005-0000-0000-0000B5140000}"/>
    <cellStyle name="Normal 4 3 6 2" xfId="3905" xr:uid="{00000000-0005-0000-0000-0000B6140000}"/>
    <cellStyle name="Normal 4 3 6 2 2" xfId="8127" xr:uid="{00000000-0005-0000-0000-0000B7140000}"/>
    <cellStyle name="Normal 4 3 6 2 2 2" xfId="16577" xr:uid="{8C1F746D-CFAB-4150-9388-F4E3C926C728}"/>
    <cellStyle name="Normal 4 3 6 2 3" xfId="12359" xr:uid="{50453EDF-7F79-4694-8A1B-8FC12AAEAA83}"/>
    <cellStyle name="Normal 4 3 6 3" xfId="5982" xr:uid="{00000000-0005-0000-0000-0000B8140000}"/>
    <cellStyle name="Normal 4 3 6 3 2" xfId="14432" xr:uid="{28AFA484-F20A-4ED6-8283-72E8197164CC}"/>
    <cellStyle name="Normal 4 3 6 4" xfId="10214" xr:uid="{D1509B58-7B8A-4D76-9274-51420618A4A4}"/>
    <cellStyle name="Normal 4 3 7" xfId="2089" xr:uid="{00000000-0005-0000-0000-0000B9140000}"/>
    <cellStyle name="Normal 4 3 7 2" xfId="4318" xr:uid="{00000000-0005-0000-0000-0000BA140000}"/>
    <cellStyle name="Normal 4 3 7 2 2" xfId="8540" xr:uid="{00000000-0005-0000-0000-0000BB140000}"/>
    <cellStyle name="Normal 4 3 7 2 2 2" xfId="16990" xr:uid="{1A9C7B80-2A7A-4476-8236-15202E3BDA30}"/>
    <cellStyle name="Normal 4 3 7 2 3" xfId="12772" xr:uid="{C021EB71-4D2A-4525-B5EA-DEA2FBC14610}"/>
    <cellStyle name="Normal 4 3 7 3" xfId="6395" xr:uid="{00000000-0005-0000-0000-0000BC140000}"/>
    <cellStyle name="Normal 4 3 7 3 2" xfId="14845" xr:uid="{498AE1D9-95F5-407A-9BA8-3A05CE693546}"/>
    <cellStyle name="Normal 4 3 7 4" xfId="10627" xr:uid="{A4E1926C-1F65-4642-B49C-44273907260A}"/>
    <cellStyle name="Normal 4 3 8" xfId="2525" xr:uid="{00000000-0005-0000-0000-0000BD140000}"/>
    <cellStyle name="Normal 4 3 8 2" xfId="6808" xr:uid="{00000000-0005-0000-0000-0000BE140000}"/>
    <cellStyle name="Normal 4 3 8 2 2" xfId="15258" xr:uid="{031272EC-632F-4693-83A7-84315E6AC637}"/>
    <cellStyle name="Normal 4 3 8 3" xfId="11040" xr:uid="{7C386B7E-A177-4E02-901A-B1DDC7E66BA8}"/>
    <cellStyle name="Normal 4 3 9" xfId="4743" xr:uid="{00000000-0005-0000-0000-0000BF140000}"/>
    <cellStyle name="Normal 4 3 9 2" xfId="13193" xr:uid="{4627D34F-C886-420E-BB07-7FFDC41AAA5C}"/>
    <cellStyle name="Normal 4 4" xfId="378" xr:uid="{00000000-0005-0000-0000-0000C0140000}"/>
    <cellStyle name="Normal 4 4 10" xfId="2534" xr:uid="{00000000-0005-0000-0000-0000C1140000}"/>
    <cellStyle name="Normal 4 4 10 2" xfId="6817" xr:uid="{00000000-0005-0000-0000-0000C2140000}"/>
    <cellStyle name="Normal 4 4 10 2 2" xfId="15267" xr:uid="{2EA8B8F5-BFDA-48D4-89B0-CE90AA1A7E5D}"/>
    <cellStyle name="Normal 4 4 10 3" xfId="11049" xr:uid="{D3B4EE04-AD3B-4596-8EF4-8329431D1864}"/>
    <cellStyle name="Normal 4 4 11" xfId="4752" xr:uid="{00000000-0005-0000-0000-0000C3140000}"/>
    <cellStyle name="Normal 4 4 11 2" xfId="13202" xr:uid="{5B737B74-892E-4F30-9E6D-16AC3AF06B67}"/>
    <cellStyle name="Normal 4 4 12" xfId="8984" xr:uid="{3A2B415A-1495-489F-8CF6-9EA1FB1F7A36}"/>
    <cellStyle name="Normal 4 4 2" xfId="379" xr:uid="{00000000-0005-0000-0000-0000C4140000}"/>
    <cellStyle name="Normal 4 4 2 10" xfId="4753" xr:uid="{00000000-0005-0000-0000-0000C5140000}"/>
    <cellStyle name="Normal 4 4 2 10 2" xfId="13203" xr:uid="{014D8CBB-12C1-4F06-9960-CCD9905D1F07}"/>
    <cellStyle name="Normal 4 4 2 11" xfId="8985" xr:uid="{A2098B75-9054-44C7-A0BB-34EDF56F1205}"/>
    <cellStyle name="Normal 4 4 2 2" xfId="380" xr:uid="{00000000-0005-0000-0000-0000C6140000}"/>
    <cellStyle name="Normal 4 4 2 2 10" xfId="8986" xr:uid="{A0B61AB5-E6E7-4BF9-9E35-A23D83371438}"/>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2 2 2" xfId="15764" xr:uid="{035F06C5-42FC-4B09-9FC4-094ECDC6FDE3}"/>
    <cellStyle name="Normal 4 4 2 2 2 2 2 2 3" xfId="11546" xr:uid="{CB653433-A724-4CAD-A31C-6D8A32275C64}"/>
    <cellStyle name="Normal 4 4 2 2 2 2 2 3" xfId="5169" xr:uid="{00000000-0005-0000-0000-0000CC140000}"/>
    <cellStyle name="Normal 4 4 2 2 2 2 2 3 2" xfId="13619" xr:uid="{E7217B35-B45A-4E17-BF85-EFCE468F15AB}"/>
    <cellStyle name="Normal 4 4 2 2 2 2 2 4" xfId="9401" xr:uid="{0AA5B04A-2A33-41A2-943E-C3EFDBA8DD4E}"/>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2 2 2" xfId="16177" xr:uid="{2C5441FE-03BA-4E69-8597-5556004F7E8F}"/>
    <cellStyle name="Normal 4 4 2 2 2 2 3 2 3" xfId="11959" xr:uid="{940118F3-365A-4200-9390-150810404E17}"/>
    <cellStyle name="Normal 4 4 2 2 2 2 3 3" xfId="5582" xr:uid="{00000000-0005-0000-0000-0000D0140000}"/>
    <cellStyle name="Normal 4 4 2 2 2 2 3 3 2" xfId="14032" xr:uid="{6934B085-4727-421D-9B04-6CD73E0C5CC5}"/>
    <cellStyle name="Normal 4 4 2 2 2 2 3 4" xfId="9814" xr:uid="{4CC1A38A-E98F-4C85-9D0B-6FFC49350B87}"/>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2 2 2" xfId="16590" xr:uid="{6B6EE5D8-9D1C-4A22-B54A-F4995947A23B}"/>
    <cellStyle name="Normal 4 4 2 2 2 2 4 2 3" xfId="12372" xr:uid="{E245AAEF-F620-4FEF-93BF-93B06CCC70A1}"/>
    <cellStyle name="Normal 4 4 2 2 2 2 4 3" xfId="5995" xr:uid="{00000000-0005-0000-0000-0000D4140000}"/>
    <cellStyle name="Normal 4 4 2 2 2 2 4 3 2" xfId="14445" xr:uid="{726DD9A5-EBA4-4487-A605-3E5FF2FD7EEA}"/>
    <cellStyle name="Normal 4 4 2 2 2 2 4 4" xfId="10227" xr:uid="{8D8E75C8-B113-4120-A753-506DE456F6E5}"/>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2 2 2" xfId="17003" xr:uid="{6A0525A8-E8A9-4CF0-9CE0-9DD6BD5D3D17}"/>
    <cellStyle name="Normal 4 4 2 2 2 2 5 2 3" xfId="12785" xr:uid="{5B6C458A-5969-4378-89F8-87B6B8A8AB17}"/>
    <cellStyle name="Normal 4 4 2 2 2 2 5 3" xfId="6408" xr:uid="{00000000-0005-0000-0000-0000D8140000}"/>
    <cellStyle name="Normal 4 4 2 2 2 2 5 3 2" xfId="14858" xr:uid="{8A9136A4-234B-487C-9FAC-9800EA53113A}"/>
    <cellStyle name="Normal 4 4 2 2 2 2 5 4" xfId="10640" xr:uid="{2BDD7D3F-35A7-4087-8CDF-2A0BA9774523}"/>
    <cellStyle name="Normal 4 4 2 2 2 2 6" xfId="2538" xr:uid="{00000000-0005-0000-0000-0000D9140000}"/>
    <cellStyle name="Normal 4 4 2 2 2 2 6 2" xfId="6821" xr:uid="{00000000-0005-0000-0000-0000DA140000}"/>
    <cellStyle name="Normal 4 4 2 2 2 2 6 2 2" xfId="15271" xr:uid="{D4B68B1C-EC98-4C3B-84AF-DD58915CE421}"/>
    <cellStyle name="Normal 4 4 2 2 2 2 6 3" xfId="11053" xr:uid="{96BA196A-BB5E-490C-98D6-71700AFEE7F1}"/>
    <cellStyle name="Normal 4 4 2 2 2 2 7" xfId="4756" xr:uid="{00000000-0005-0000-0000-0000DB140000}"/>
    <cellStyle name="Normal 4 4 2 2 2 2 7 2" xfId="13206" xr:uid="{BCC8749C-7B13-444F-B718-B639F0F52F5C}"/>
    <cellStyle name="Normal 4 4 2 2 2 2 8" xfId="8988" xr:uid="{FB940AA7-3026-4D22-AE86-27A34889F32C}"/>
    <cellStyle name="Normal 4 4 2 2 2 3" xfId="856" xr:uid="{00000000-0005-0000-0000-0000DC140000}"/>
    <cellStyle name="Normal 4 4 2 2 2 3 2" xfId="3091" xr:uid="{00000000-0005-0000-0000-0000DD140000}"/>
    <cellStyle name="Normal 4 4 2 2 2 3 2 2" xfId="7313" xr:uid="{00000000-0005-0000-0000-0000DE140000}"/>
    <cellStyle name="Normal 4 4 2 2 2 3 2 2 2" xfId="15763" xr:uid="{5E675D25-08AC-40FA-94F9-8A9AC89BA13C}"/>
    <cellStyle name="Normal 4 4 2 2 2 3 2 3" xfId="11545" xr:uid="{2EC995F0-8041-4485-B342-C145D86FA82E}"/>
    <cellStyle name="Normal 4 4 2 2 2 3 3" xfId="5168" xr:uid="{00000000-0005-0000-0000-0000DF140000}"/>
    <cellStyle name="Normal 4 4 2 2 2 3 3 2" xfId="13618" xr:uid="{78925498-60E2-4C10-AB24-CC8B579A6309}"/>
    <cellStyle name="Normal 4 4 2 2 2 3 4" xfId="9400" xr:uid="{0DE1990D-0620-4B94-A014-479DA43D22CA}"/>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2 2 2" xfId="16176" xr:uid="{6B25F029-AC44-4F68-AF1F-1A7BDFC8A662}"/>
    <cellStyle name="Normal 4 4 2 2 2 4 2 3" xfId="11958" xr:uid="{B815B1FC-562D-4EDE-826C-0A36B12FDA3C}"/>
    <cellStyle name="Normal 4 4 2 2 2 4 3" xfId="5581" xr:uid="{00000000-0005-0000-0000-0000E3140000}"/>
    <cellStyle name="Normal 4 4 2 2 2 4 3 2" xfId="14031" xr:uid="{563A7283-7EDD-4EA9-BE16-CD7FBDD80E33}"/>
    <cellStyle name="Normal 4 4 2 2 2 4 4" xfId="9813" xr:uid="{C1E2445B-31B7-4505-A515-E17484FD2F58}"/>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2 2 2" xfId="16589" xr:uid="{66BA2A96-E256-43BD-8972-3C89936376AE}"/>
    <cellStyle name="Normal 4 4 2 2 2 5 2 3" xfId="12371" xr:uid="{C271839E-4750-4307-A9E4-6E703BF29290}"/>
    <cellStyle name="Normal 4 4 2 2 2 5 3" xfId="5994" xr:uid="{00000000-0005-0000-0000-0000E7140000}"/>
    <cellStyle name="Normal 4 4 2 2 2 5 3 2" xfId="14444" xr:uid="{A82134D8-93CC-4D03-8A5F-20E0F53E56EF}"/>
    <cellStyle name="Normal 4 4 2 2 2 5 4" xfId="10226" xr:uid="{6852498D-3789-47C2-8F2A-E22209A96822}"/>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2 2 2" xfId="17002" xr:uid="{A60CABD4-329A-4790-B0FF-41A5A97ACB5A}"/>
    <cellStyle name="Normal 4 4 2 2 2 6 2 3" xfId="12784" xr:uid="{6AFB6E76-C606-437F-BCBB-69F3066D086D}"/>
    <cellStyle name="Normal 4 4 2 2 2 6 3" xfId="6407" xr:uid="{00000000-0005-0000-0000-0000EB140000}"/>
    <cellStyle name="Normal 4 4 2 2 2 6 3 2" xfId="14857" xr:uid="{D57105E1-DD89-4075-8C7D-7CB66CF33537}"/>
    <cellStyle name="Normal 4 4 2 2 2 6 4" xfId="10639" xr:uid="{0D5A23CB-8E6E-4470-8BCB-EB5F5AEA54EB}"/>
    <cellStyle name="Normal 4 4 2 2 2 7" xfId="2537" xr:uid="{00000000-0005-0000-0000-0000EC140000}"/>
    <cellStyle name="Normal 4 4 2 2 2 7 2" xfId="6820" xr:uid="{00000000-0005-0000-0000-0000ED140000}"/>
    <cellStyle name="Normal 4 4 2 2 2 7 2 2" xfId="15270" xr:uid="{8E2EB47F-2500-4D07-B838-FED9378D6CFB}"/>
    <cellStyle name="Normal 4 4 2 2 2 7 3" xfId="11052" xr:uid="{74F364E1-F584-41C3-8D96-54DADFE5B39E}"/>
    <cellStyle name="Normal 4 4 2 2 2 8" xfId="4755" xr:uid="{00000000-0005-0000-0000-0000EE140000}"/>
    <cellStyle name="Normal 4 4 2 2 2 8 2" xfId="13205" xr:uid="{84737962-5ABA-4CAE-9BD0-4AF8A50C2165}"/>
    <cellStyle name="Normal 4 4 2 2 2 9" xfId="8987" xr:uid="{E3D38828-551D-4E62-85DB-24097167DF8D}"/>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2 2 2" xfId="15765" xr:uid="{5E9DD1EA-FA4A-478C-A016-9CBA4564F3E8}"/>
    <cellStyle name="Normal 4 4 2 2 3 2 2 3" xfId="11547" xr:uid="{2BA0E8D5-41BB-478D-861B-468CA76CA51C}"/>
    <cellStyle name="Normal 4 4 2 2 3 2 3" xfId="5170" xr:uid="{00000000-0005-0000-0000-0000F3140000}"/>
    <cellStyle name="Normal 4 4 2 2 3 2 3 2" xfId="13620" xr:uid="{74B46B27-0C4F-4040-935C-050E1B107C4C}"/>
    <cellStyle name="Normal 4 4 2 2 3 2 4" xfId="9402" xr:uid="{E32F281B-3EAC-4D36-9EC2-500F4FAA51AE}"/>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2 2 2" xfId="16178" xr:uid="{7BDD63BA-D1ED-4F01-83D8-CD67369496D0}"/>
    <cellStyle name="Normal 4 4 2 2 3 3 2 3" xfId="11960" xr:uid="{E66BB0D4-5093-4DA7-805D-98B8A4B296DF}"/>
    <cellStyle name="Normal 4 4 2 2 3 3 3" xfId="5583" xr:uid="{00000000-0005-0000-0000-0000F7140000}"/>
    <cellStyle name="Normal 4 4 2 2 3 3 3 2" xfId="14033" xr:uid="{57A1B351-1D66-4608-8CBF-17DDA5A7502D}"/>
    <cellStyle name="Normal 4 4 2 2 3 3 4" xfId="9815" xr:uid="{F8CC0B46-BB2B-4DA0-8D25-EAAA2BC99F33}"/>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2 2 2" xfId="16591" xr:uid="{11E22FD9-8EB8-4770-86A6-15714FA8CEF4}"/>
    <cellStyle name="Normal 4 4 2 2 3 4 2 3" xfId="12373" xr:uid="{8C72688A-6321-461A-BCE0-7BBE01CBB077}"/>
    <cellStyle name="Normal 4 4 2 2 3 4 3" xfId="5996" xr:uid="{00000000-0005-0000-0000-0000FB140000}"/>
    <cellStyle name="Normal 4 4 2 2 3 4 3 2" xfId="14446" xr:uid="{B1A14C38-F0F9-4AB8-BCAD-885B6D77695E}"/>
    <cellStyle name="Normal 4 4 2 2 3 4 4" xfId="10228" xr:uid="{BFFCE1E8-A949-4D3A-91A2-9291EA44CD1A}"/>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2 2 2" xfId="17004" xr:uid="{6045B9F2-227E-450A-8ADD-A33CD6624C8E}"/>
    <cellStyle name="Normal 4 4 2 2 3 5 2 3" xfId="12786" xr:uid="{61214905-0A07-4FFC-9421-86B64BFDC7FD}"/>
    <cellStyle name="Normal 4 4 2 2 3 5 3" xfId="6409" xr:uid="{00000000-0005-0000-0000-0000FF140000}"/>
    <cellStyle name="Normal 4 4 2 2 3 5 3 2" xfId="14859" xr:uid="{D98D5C95-F7CD-44AF-8543-D0F7E96E8A0C}"/>
    <cellStyle name="Normal 4 4 2 2 3 5 4" xfId="10641" xr:uid="{DD696E26-B599-423C-AE52-C86D70D2FF29}"/>
    <cellStyle name="Normal 4 4 2 2 3 6" xfId="2539" xr:uid="{00000000-0005-0000-0000-000000150000}"/>
    <cellStyle name="Normal 4 4 2 2 3 6 2" xfId="6822" xr:uid="{00000000-0005-0000-0000-000001150000}"/>
    <cellStyle name="Normal 4 4 2 2 3 6 2 2" xfId="15272" xr:uid="{E3FCBBC3-1619-41F0-B444-87EA709798F2}"/>
    <cellStyle name="Normal 4 4 2 2 3 6 3" xfId="11054" xr:uid="{F23068F4-623C-4FAD-AE17-53B547B38368}"/>
    <cellStyle name="Normal 4 4 2 2 3 7" xfId="4757" xr:uid="{00000000-0005-0000-0000-000002150000}"/>
    <cellStyle name="Normal 4 4 2 2 3 7 2" xfId="13207" xr:uid="{032AE507-57EE-4950-99F3-3E41852A99FC}"/>
    <cellStyle name="Normal 4 4 2 2 3 8" xfId="8989" xr:uid="{6D186B40-83C2-4F59-A4DA-20B6E9773B0C}"/>
    <cellStyle name="Normal 4 4 2 2 4" xfId="855" xr:uid="{00000000-0005-0000-0000-000003150000}"/>
    <cellStyle name="Normal 4 4 2 2 4 2" xfId="3090" xr:uid="{00000000-0005-0000-0000-000004150000}"/>
    <cellStyle name="Normal 4 4 2 2 4 2 2" xfId="7312" xr:uid="{00000000-0005-0000-0000-000005150000}"/>
    <cellStyle name="Normal 4 4 2 2 4 2 2 2" xfId="15762" xr:uid="{AE63E106-E264-4DF5-81BC-C5660FEF2FC4}"/>
    <cellStyle name="Normal 4 4 2 2 4 2 3" xfId="11544" xr:uid="{1EB721AC-EBC1-4D42-AFBC-CD0D8D5FDB6D}"/>
    <cellStyle name="Normal 4 4 2 2 4 3" xfId="5167" xr:uid="{00000000-0005-0000-0000-000006150000}"/>
    <cellStyle name="Normal 4 4 2 2 4 3 2" xfId="13617" xr:uid="{5255CFA7-967C-4716-BCF1-C2FE11CA1D5C}"/>
    <cellStyle name="Normal 4 4 2 2 4 4" xfId="9399" xr:uid="{4E1D0122-CA16-4C2A-A4B5-F6EA9D7911F0}"/>
    <cellStyle name="Normal 4 4 2 2 5" xfId="1273" xr:uid="{00000000-0005-0000-0000-000007150000}"/>
    <cellStyle name="Normal 4 4 2 2 5 2" xfId="3503" xr:uid="{00000000-0005-0000-0000-000008150000}"/>
    <cellStyle name="Normal 4 4 2 2 5 2 2" xfId="7725" xr:uid="{00000000-0005-0000-0000-000009150000}"/>
    <cellStyle name="Normal 4 4 2 2 5 2 2 2" xfId="16175" xr:uid="{60E75242-B345-47AD-9217-7C4FA98B8FC9}"/>
    <cellStyle name="Normal 4 4 2 2 5 2 3" xfId="11957" xr:uid="{B8CD81F4-0351-44C2-95AF-A6C766CA72EB}"/>
    <cellStyle name="Normal 4 4 2 2 5 3" xfId="5580" xr:uid="{00000000-0005-0000-0000-00000A150000}"/>
    <cellStyle name="Normal 4 4 2 2 5 3 2" xfId="14030" xr:uid="{C7AA37DD-DFEE-4A20-87ED-6EE0BFB07650}"/>
    <cellStyle name="Normal 4 4 2 2 5 4" xfId="9812" xr:uid="{2F52264F-7EE3-4AEF-A540-F5A83736D7C1}"/>
    <cellStyle name="Normal 4 4 2 2 6" xfId="1686" xr:uid="{00000000-0005-0000-0000-00000B150000}"/>
    <cellStyle name="Normal 4 4 2 2 6 2" xfId="3916" xr:uid="{00000000-0005-0000-0000-00000C150000}"/>
    <cellStyle name="Normal 4 4 2 2 6 2 2" xfId="8138" xr:uid="{00000000-0005-0000-0000-00000D150000}"/>
    <cellStyle name="Normal 4 4 2 2 6 2 2 2" xfId="16588" xr:uid="{649403B7-2F25-4442-91C4-564D0981432F}"/>
    <cellStyle name="Normal 4 4 2 2 6 2 3" xfId="12370" xr:uid="{C3C0DF8C-1EBB-489D-873F-12A6F7CF9709}"/>
    <cellStyle name="Normal 4 4 2 2 6 3" xfId="5993" xr:uid="{00000000-0005-0000-0000-00000E150000}"/>
    <cellStyle name="Normal 4 4 2 2 6 3 2" xfId="14443" xr:uid="{4879F090-E0AF-49E2-B990-49B0FF671C92}"/>
    <cellStyle name="Normal 4 4 2 2 6 4" xfId="10225" xr:uid="{AC11951E-983A-4A59-B60E-14FB9ADDC1ED}"/>
    <cellStyle name="Normal 4 4 2 2 7" xfId="2100" xr:uid="{00000000-0005-0000-0000-00000F150000}"/>
    <cellStyle name="Normal 4 4 2 2 7 2" xfId="4329" xr:uid="{00000000-0005-0000-0000-000010150000}"/>
    <cellStyle name="Normal 4 4 2 2 7 2 2" xfId="8551" xr:uid="{00000000-0005-0000-0000-000011150000}"/>
    <cellStyle name="Normal 4 4 2 2 7 2 2 2" xfId="17001" xr:uid="{1C2313F4-97ED-40D9-B63F-D78B2C1D7E35}"/>
    <cellStyle name="Normal 4 4 2 2 7 2 3" xfId="12783" xr:uid="{62BC32B4-87DA-4D87-99A6-FC405F5AF4CB}"/>
    <cellStyle name="Normal 4 4 2 2 7 3" xfId="6406" xr:uid="{00000000-0005-0000-0000-000012150000}"/>
    <cellStyle name="Normal 4 4 2 2 7 3 2" xfId="14856" xr:uid="{31F93F59-915F-4305-B82C-583EEDA230B7}"/>
    <cellStyle name="Normal 4 4 2 2 7 4" xfId="10638" xr:uid="{9829EF39-062A-43A8-8D45-924A51CD79CC}"/>
    <cellStyle name="Normal 4 4 2 2 8" xfId="2536" xr:uid="{00000000-0005-0000-0000-000013150000}"/>
    <cellStyle name="Normal 4 4 2 2 8 2" xfId="6819" xr:uid="{00000000-0005-0000-0000-000014150000}"/>
    <cellStyle name="Normal 4 4 2 2 8 2 2" xfId="15269" xr:uid="{ED6DA4D4-501E-465F-8CA3-C892DDBDF034}"/>
    <cellStyle name="Normal 4 4 2 2 8 3" xfId="11051" xr:uid="{89BF75B4-5625-4AA0-A491-E215DF9EC9F0}"/>
    <cellStyle name="Normal 4 4 2 2 9" xfId="4754" xr:uid="{00000000-0005-0000-0000-000015150000}"/>
    <cellStyle name="Normal 4 4 2 2 9 2" xfId="13204" xr:uid="{D4D27F37-07F5-4BE6-9F9C-D8E24946E9BF}"/>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2 2 2" xfId="15767" xr:uid="{86ECC581-64CB-4558-9903-72F2E321BEB3}"/>
    <cellStyle name="Normal 4 4 2 3 2 2 2 3" xfId="11549" xr:uid="{9DDBA84C-9AD8-4B38-B79A-7FEA0AB2A380}"/>
    <cellStyle name="Normal 4 4 2 3 2 2 3" xfId="5172" xr:uid="{00000000-0005-0000-0000-00001B150000}"/>
    <cellStyle name="Normal 4 4 2 3 2 2 3 2" xfId="13622" xr:uid="{18F03FD4-A4D0-4938-B25B-34F097E89524}"/>
    <cellStyle name="Normal 4 4 2 3 2 2 4" xfId="9404" xr:uid="{86F0D3E4-A273-4418-AA76-FC808E6C5EA2}"/>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2 2 2" xfId="16180" xr:uid="{A2F55FCE-0FF2-4744-BF8A-D9191987D4EE}"/>
    <cellStyle name="Normal 4 4 2 3 2 3 2 3" xfId="11962" xr:uid="{20ED8FE6-69A9-4F87-8D67-44388F8269A5}"/>
    <cellStyle name="Normal 4 4 2 3 2 3 3" xfId="5585" xr:uid="{00000000-0005-0000-0000-00001F150000}"/>
    <cellStyle name="Normal 4 4 2 3 2 3 3 2" xfId="14035" xr:uid="{E93653E9-786C-46B6-BE85-0936A30F4B50}"/>
    <cellStyle name="Normal 4 4 2 3 2 3 4" xfId="9817" xr:uid="{B213BC51-DBAC-4143-9DE8-8A3820518523}"/>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2 2 2" xfId="16593" xr:uid="{595670DE-2705-4E1A-A3BC-0DD847848DED}"/>
    <cellStyle name="Normal 4 4 2 3 2 4 2 3" xfId="12375" xr:uid="{50CFACDC-CCBD-42FC-8DFF-9A423B8AC1AE}"/>
    <cellStyle name="Normal 4 4 2 3 2 4 3" xfId="5998" xr:uid="{00000000-0005-0000-0000-000023150000}"/>
    <cellStyle name="Normal 4 4 2 3 2 4 3 2" xfId="14448" xr:uid="{498B640F-B100-4F95-AFB4-36EB05926002}"/>
    <cellStyle name="Normal 4 4 2 3 2 4 4" xfId="10230" xr:uid="{6F0BE13F-F689-4484-9A69-D687BF4C888F}"/>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2 2 2" xfId="17006" xr:uid="{50F23815-FA70-414D-BBC7-50E3415CE2E2}"/>
    <cellStyle name="Normal 4 4 2 3 2 5 2 3" xfId="12788" xr:uid="{01ADF767-30AD-49D2-95EC-CD2B4D4267B9}"/>
    <cellStyle name="Normal 4 4 2 3 2 5 3" xfId="6411" xr:uid="{00000000-0005-0000-0000-000027150000}"/>
    <cellStyle name="Normal 4 4 2 3 2 5 3 2" xfId="14861" xr:uid="{201E598D-E193-49F8-903D-9B9127D281B9}"/>
    <cellStyle name="Normal 4 4 2 3 2 5 4" xfId="10643" xr:uid="{06874B33-C5B9-4252-BF2A-B1582CD461AE}"/>
    <cellStyle name="Normal 4 4 2 3 2 6" xfId="2541" xr:uid="{00000000-0005-0000-0000-000028150000}"/>
    <cellStyle name="Normal 4 4 2 3 2 6 2" xfId="6824" xr:uid="{00000000-0005-0000-0000-000029150000}"/>
    <cellStyle name="Normal 4 4 2 3 2 6 2 2" xfId="15274" xr:uid="{4CBC12C4-8256-431F-9602-033737E9330E}"/>
    <cellStyle name="Normal 4 4 2 3 2 6 3" xfId="11056" xr:uid="{E1858438-F364-4A40-96B8-A176FE25E454}"/>
    <cellStyle name="Normal 4 4 2 3 2 7" xfId="4759" xr:uid="{00000000-0005-0000-0000-00002A150000}"/>
    <cellStyle name="Normal 4 4 2 3 2 7 2" xfId="13209" xr:uid="{3C35BA7D-8C74-4F32-AB13-81C4A0E86032}"/>
    <cellStyle name="Normal 4 4 2 3 2 8" xfId="8991" xr:uid="{57E7B57D-26C0-44F2-9250-E7C8C5B64ECE}"/>
    <cellStyle name="Normal 4 4 2 3 3" xfId="859" xr:uid="{00000000-0005-0000-0000-00002B150000}"/>
    <cellStyle name="Normal 4 4 2 3 3 2" xfId="3094" xr:uid="{00000000-0005-0000-0000-00002C150000}"/>
    <cellStyle name="Normal 4 4 2 3 3 2 2" xfId="7316" xr:uid="{00000000-0005-0000-0000-00002D150000}"/>
    <cellStyle name="Normal 4 4 2 3 3 2 2 2" xfId="15766" xr:uid="{2C8D06D4-440E-463E-AF1B-35A4C1C20C49}"/>
    <cellStyle name="Normal 4 4 2 3 3 2 3" xfId="11548" xr:uid="{5B0B70E3-BB8D-4A80-9D55-31F545A656DC}"/>
    <cellStyle name="Normal 4 4 2 3 3 3" xfId="5171" xr:uid="{00000000-0005-0000-0000-00002E150000}"/>
    <cellStyle name="Normal 4 4 2 3 3 3 2" xfId="13621" xr:uid="{D574B04B-9521-4666-8042-E192D66E744A}"/>
    <cellStyle name="Normal 4 4 2 3 3 4" xfId="9403" xr:uid="{DDC5757A-DA46-4694-B0A3-61FF710878B6}"/>
    <cellStyle name="Normal 4 4 2 3 4" xfId="1277" xr:uid="{00000000-0005-0000-0000-00002F150000}"/>
    <cellStyle name="Normal 4 4 2 3 4 2" xfId="3507" xr:uid="{00000000-0005-0000-0000-000030150000}"/>
    <cellStyle name="Normal 4 4 2 3 4 2 2" xfId="7729" xr:uid="{00000000-0005-0000-0000-000031150000}"/>
    <cellStyle name="Normal 4 4 2 3 4 2 2 2" xfId="16179" xr:uid="{E232F5F9-9F3C-41E5-94F4-8C9E577C0728}"/>
    <cellStyle name="Normal 4 4 2 3 4 2 3" xfId="11961" xr:uid="{C4ECA812-7336-412E-A9C6-360034D3C40F}"/>
    <cellStyle name="Normal 4 4 2 3 4 3" xfId="5584" xr:uid="{00000000-0005-0000-0000-000032150000}"/>
    <cellStyle name="Normal 4 4 2 3 4 3 2" xfId="14034" xr:uid="{92277DEA-23E8-4FF4-960E-7C62D402BD10}"/>
    <cellStyle name="Normal 4 4 2 3 4 4" xfId="9816" xr:uid="{E7734A17-B680-4C03-BE43-F5C3675B9C09}"/>
    <cellStyle name="Normal 4 4 2 3 5" xfId="1690" xr:uid="{00000000-0005-0000-0000-000033150000}"/>
    <cellStyle name="Normal 4 4 2 3 5 2" xfId="3920" xr:uid="{00000000-0005-0000-0000-000034150000}"/>
    <cellStyle name="Normal 4 4 2 3 5 2 2" xfId="8142" xr:uid="{00000000-0005-0000-0000-000035150000}"/>
    <cellStyle name="Normal 4 4 2 3 5 2 2 2" xfId="16592" xr:uid="{E24C492E-CD46-4FC0-8B1F-D27B5B1AE025}"/>
    <cellStyle name="Normal 4 4 2 3 5 2 3" xfId="12374" xr:uid="{324B2BD1-60AB-4A57-8991-3C507B57B4BB}"/>
    <cellStyle name="Normal 4 4 2 3 5 3" xfId="5997" xr:uid="{00000000-0005-0000-0000-000036150000}"/>
    <cellStyle name="Normal 4 4 2 3 5 3 2" xfId="14447" xr:uid="{B939904B-1C29-4A00-9A95-1CF68183B6A0}"/>
    <cellStyle name="Normal 4 4 2 3 5 4" xfId="10229" xr:uid="{7290623B-6833-43EA-809E-A185BA1F8908}"/>
    <cellStyle name="Normal 4 4 2 3 6" xfId="2104" xr:uid="{00000000-0005-0000-0000-000037150000}"/>
    <cellStyle name="Normal 4 4 2 3 6 2" xfId="4333" xr:uid="{00000000-0005-0000-0000-000038150000}"/>
    <cellStyle name="Normal 4 4 2 3 6 2 2" xfId="8555" xr:uid="{00000000-0005-0000-0000-000039150000}"/>
    <cellStyle name="Normal 4 4 2 3 6 2 2 2" xfId="17005" xr:uid="{D2C20097-B0D5-4DC9-BAC7-DEE3A47B2910}"/>
    <cellStyle name="Normal 4 4 2 3 6 2 3" xfId="12787" xr:uid="{C68849FA-197B-42A3-96BA-6F668A82C285}"/>
    <cellStyle name="Normal 4 4 2 3 6 3" xfId="6410" xr:uid="{00000000-0005-0000-0000-00003A150000}"/>
    <cellStyle name="Normal 4 4 2 3 6 3 2" xfId="14860" xr:uid="{661685C0-9257-49DE-9404-C5C45C2DA69A}"/>
    <cellStyle name="Normal 4 4 2 3 6 4" xfId="10642" xr:uid="{1FB1D16B-89CD-450D-B48F-874222FE6BEA}"/>
    <cellStyle name="Normal 4 4 2 3 7" xfId="2540" xr:uid="{00000000-0005-0000-0000-00003B150000}"/>
    <cellStyle name="Normal 4 4 2 3 7 2" xfId="6823" xr:uid="{00000000-0005-0000-0000-00003C150000}"/>
    <cellStyle name="Normal 4 4 2 3 7 2 2" xfId="15273" xr:uid="{801B00FB-D6D4-4AB0-BB21-DE7C000B30AA}"/>
    <cellStyle name="Normal 4 4 2 3 7 3" xfId="11055" xr:uid="{5CFAEA34-C4DE-48A0-A37B-D9DD001CC628}"/>
    <cellStyle name="Normal 4 4 2 3 8" xfId="4758" xr:uid="{00000000-0005-0000-0000-00003D150000}"/>
    <cellStyle name="Normal 4 4 2 3 8 2" xfId="13208" xr:uid="{7E938693-404B-4DDB-93EA-5EB8A6ADF814}"/>
    <cellStyle name="Normal 4 4 2 3 9" xfId="8990" xr:uid="{251163F3-2561-443C-8517-6ADAC8239445}"/>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2 2 2" xfId="15768" xr:uid="{3628369C-7FF1-45D1-A997-B0B8BBDBC30D}"/>
    <cellStyle name="Normal 4 4 2 4 2 2 3" xfId="11550" xr:uid="{A45E0F25-8F40-4E23-9BBD-0B4A763C5748}"/>
    <cellStyle name="Normal 4 4 2 4 2 3" xfId="5173" xr:uid="{00000000-0005-0000-0000-000042150000}"/>
    <cellStyle name="Normal 4 4 2 4 2 3 2" xfId="13623" xr:uid="{C80951E2-312B-43CA-A44B-590CC58DD248}"/>
    <cellStyle name="Normal 4 4 2 4 2 4" xfId="9405" xr:uid="{3F4523A8-960A-4DCF-9175-C5CF080133AB}"/>
    <cellStyle name="Normal 4 4 2 4 3" xfId="1279" xr:uid="{00000000-0005-0000-0000-000043150000}"/>
    <cellStyle name="Normal 4 4 2 4 3 2" xfId="3509" xr:uid="{00000000-0005-0000-0000-000044150000}"/>
    <cellStyle name="Normal 4 4 2 4 3 2 2" xfId="7731" xr:uid="{00000000-0005-0000-0000-000045150000}"/>
    <cellStyle name="Normal 4 4 2 4 3 2 2 2" xfId="16181" xr:uid="{9C66C590-636B-4E40-8650-F7DEAEAC3888}"/>
    <cellStyle name="Normal 4 4 2 4 3 2 3" xfId="11963" xr:uid="{6A493E55-983F-45EF-ADED-A7425E101068}"/>
    <cellStyle name="Normal 4 4 2 4 3 3" xfId="5586" xr:uid="{00000000-0005-0000-0000-000046150000}"/>
    <cellStyle name="Normal 4 4 2 4 3 3 2" xfId="14036" xr:uid="{B9A7F26E-A739-4781-AD21-38F78940723B}"/>
    <cellStyle name="Normal 4 4 2 4 3 4" xfId="9818" xr:uid="{3679F75F-3299-401A-B89B-D53B4F248170}"/>
    <cellStyle name="Normal 4 4 2 4 4" xfId="1692" xr:uid="{00000000-0005-0000-0000-000047150000}"/>
    <cellStyle name="Normal 4 4 2 4 4 2" xfId="3922" xr:uid="{00000000-0005-0000-0000-000048150000}"/>
    <cellStyle name="Normal 4 4 2 4 4 2 2" xfId="8144" xr:uid="{00000000-0005-0000-0000-000049150000}"/>
    <cellStyle name="Normal 4 4 2 4 4 2 2 2" xfId="16594" xr:uid="{BA8F3332-BD74-4C97-9DB3-C53025A92D93}"/>
    <cellStyle name="Normal 4 4 2 4 4 2 3" xfId="12376" xr:uid="{3E36C3D1-652D-4C60-9F90-9EDE73871452}"/>
    <cellStyle name="Normal 4 4 2 4 4 3" xfId="5999" xr:uid="{00000000-0005-0000-0000-00004A150000}"/>
    <cellStyle name="Normal 4 4 2 4 4 3 2" xfId="14449" xr:uid="{34F172B9-512F-43B6-BF4E-6664007F2E73}"/>
    <cellStyle name="Normal 4 4 2 4 4 4" xfId="10231" xr:uid="{2EB091EB-178C-42FF-BA43-09A841D2589E}"/>
    <cellStyle name="Normal 4 4 2 4 5" xfId="2106" xr:uid="{00000000-0005-0000-0000-00004B150000}"/>
    <cellStyle name="Normal 4 4 2 4 5 2" xfId="4335" xr:uid="{00000000-0005-0000-0000-00004C150000}"/>
    <cellStyle name="Normal 4 4 2 4 5 2 2" xfId="8557" xr:uid="{00000000-0005-0000-0000-00004D150000}"/>
    <cellStyle name="Normal 4 4 2 4 5 2 2 2" xfId="17007" xr:uid="{E6C80BD1-8041-4646-BF82-2740A5D76290}"/>
    <cellStyle name="Normal 4 4 2 4 5 2 3" xfId="12789" xr:uid="{97253290-45C3-438A-9E05-25EFC4A0246C}"/>
    <cellStyle name="Normal 4 4 2 4 5 3" xfId="6412" xr:uid="{00000000-0005-0000-0000-00004E150000}"/>
    <cellStyle name="Normal 4 4 2 4 5 3 2" xfId="14862" xr:uid="{097CE06B-50AF-48CE-A363-7D3A9664FB13}"/>
    <cellStyle name="Normal 4 4 2 4 5 4" xfId="10644" xr:uid="{A984923F-68CD-42D9-99DB-0095C7CFA1AB}"/>
    <cellStyle name="Normal 4 4 2 4 6" xfId="2542" xr:uid="{00000000-0005-0000-0000-00004F150000}"/>
    <cellStyle name="Normal 4 4 2 4 6 2" xfId="6825" xr:uid="{00000000-0005-0000-0000-000050150000}"/>
    <cellStyle name="Normal 4 4 2 4 6 2 2" xfId="15275" xr:uid="{224EE0D9-1F8A-46AC-B234-D8A189EB9AB2}"/>
    <cellStyle name="Normal 4 4 2 4 6 3" xfId="11057" xr:uid="{971BA8A2-4A09-4337-B952-CCBE27B69AB5}"/>
    <cellStyle name="Normal 4 4 2 4 7" xfId="4760" xr:uid="{00000000-0005-0000-0000-000051150000}"/>
    <cellStyle name="Normal 4 4 2 4 7 2" xfId="13210" xr:uid="{C1E67887-8F4D-47AA-B1F1-81B8F2EDF445}"/>
    <cellStyle name="Normal 4 4 2 4 8" xfId="8992" xr:uid="{4C71FC4E-EDFB-4DFA-A9D9-50386AA8E177}"/>
    <cellStyle name="Normal 4 4 2 5" xfId="854" xr:uid="{00000000-0005-0000-0000-000052150000}"/>
    <cellStyle name="Normal 4 4 2 5 2" xfId="3089" xr:uid="{00000000-0005-0000-0000-000053150000}"/>
    <cellStyle name="Normal 4 4 2 5 2 2" xfId="7311" xr:uid="{00000000-0005-0000-0000-000054150000}"/>
    <cellStyle name="Normal 4 4 2 5 2 2 2" xfId="15761" xr:uid="{CA590864-1A41-4DEE-9E82-ECA5D3ED2FBA}"/>
    <cellStyle name="Normal 4 4 2 5 2 3" xfId="11543" xr:uid="{467706D4-180C-4F19-90C4-B42E5DD44027}"/>
    <cellStyle name="Normal 4 4 2 5 3" xfId="5166" xr:uid="{00000000-0005-0000-0000-000055150000}"/>
    <cellStyle name="Normal 4 4 2 5 3 2" xfId="13616" xr:uid="{8BD21A02-AB16-43F8-9AB1-3F93FBFE698A}"/>
    <cellStyle name="Normal 4 4 2 5 4" xfId="9398" xr:uid="{1A35E25C-6565-4911-B533-7800167E52DF}"/>
    <cellStyle name="Normal 4 4 2 6" xfId="1272" xr:uid="{00000000-0005-0000-0000-000056150000}"/>
    <cellStyle name="Normal 4 4 2 6 2" xfId="3502" xr:uid="{00000000-0005-0000-0000-000057150000}"/>
    <cellStyle name="Normal 4 4 2 6 2 2" xfId="7724" xr:uid="{00000000-0005-0000-0000-000058150000}"/>
    <cellStyle name="Normal 4 4 2 6 2 2 2" xfId="16174" xr:uid="{936144A9-7945-480B-88DE-CA42D1283D3C}"/>
    <cellStyle name="Normal 4 4 2 6 2 3" xfId="11956" xr:uid="{111FC510-CA74-410C-9353-328B4F7C028E}"/>
    <cellStyle name="Normal 4 4 2 6 3" xfId="5579" xr:uid="{00000000-0005-0000-0000-000059150000}"/>
    <cellStyle name="Normal 4 4 2 6 3 2" xfId="14029" xr:uid="{A9F49DEF-FC5B-41E7-B8CF-9FDE072C9CA5}"/>
    <cellStyle name="Normal 4 4 2 6 4" xfId="9811" xr:uid="{DD9F4A0D-DEC2-45E9-9552-C418D1D2DF08}"/>
    <cellStyle name="Normal 4 4 2 7" xfId="1685" xr:uid="{00000000-0005-0000-0000-00005A150000}"/>
    <cellStyle name="Normal 4 4 2 7 2" xfId="3915" xr:uid="{00000000-0005-0000-0000-00005B150000}"/>
    <cellStyle name="Normal 4 4 2 7 2 2" xfId="8137" xr:uid="{00000000-0005-0000-0000-00005C150000}"/>
    <cellStyle name="Normal 4 4 2 7 2 2 2" xfId="16587" xr:uid="{3221E00B-BA4F-486F-8354-FAEDCF7745A9}"/>
    <cellStyle name="Normal 4 4 2 7 2 3" xfId="12369" xr:uid="{979BC3B9-9730-4C83-964F-477115D5082E}"/>
    <cellStyle name="Normal 4 4 2 7 3" xfId="5992" xr:uid="{00000000-0005-0000-0000-00005D150000}"/>
    <cellStyle name="Normal 4 4 2 7 3 2" xfId="14442" xr:uid="{A8F257F2-5458-4C71-8DC2-43E84CB1C947}"/>
    <cellStyle name="Normal 4 4 2 7 4" xfId="10224" xr:uid="{A9748F41-F7DF-48FC-B03E-DABB87E7455A}"/>
    <cellStyle name="Normal 4 4 2 8" xfId="2099" xr:uid="{00000000-0005-0000-0000-00005E150000}"/>
    <cellStyle name="Normal 4 4 2 8 2" xfId="4328" xr:uid="{00000000-0005-0000-0000-00005F150000}"/>
    <cellStyle name="Normal 4 4 2 8 2 2" xfId="8550" xr:uid="{00000000-0005-0000-0000-000060150000}"/>
    <cellStyle name="Normal 4 4 2 8 2 2 2" xfId="17000" xr:uid="{66DD85FE-0563-464B-B9A1-CAAF1842513D}"/>
    <cellStyle name="Normal 4 4 2 8 2 3" xfId="12782" xr:uid="{9C6B8C0F-6F03-47ED-896F-D5F62E4BF5FF}"/>
    <cellStyle name="Normal 4 4 2 8 3" xfId="6405" xr:uid="{00000000-0005-0000-0000-000061150000}"/>
    <cellStyle name="Normal 4 4 2 8 3 2" xfId="14855" xr:uid="{B3D6AAFE-04F4-430D-881D-2A89559A91BE}"/>
    <cellStyle name="Normal 4 4 2 8 4" xfId="10637" xr:uid="{CE9E456B-4D49-467E-8EAD-10D7A30EE87F}"/>
    <cellStyle name="Normal 4 4 2 9" xfId="2535" xr:uid="{00000000-0005-0000-0000-000062150000}"/>
    <cellStyle name="Normal 4 4 2 9 2" xfId="6818" xr:uid="{00000000-0005-0000-0000-000063150000}"/>
    <cellStyle name="Normal 4 4 2 9 2 2" xfId="15268" xr:uid="{AB7924D2-963D-40CF-811F-951CA1CA5DC2}"/>
    <cellStyle name="Normal 4 4 2 9 3" xfId="11050" xr:uid="{56FBF339-5C5A-421C-8C84-E29D5BC644EA}"/>
    <cellStyle name="Normal 4 4 3" xfId="387" xr:uid="{00000000-0005-0000-0000-000064150000}"/>
    <cellStyle name="Normal 4 4 3 10" xfId="8993" xr:uid="{F499C6DC-374F-422B-8BEA-F08116F10FC9}"/>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2 2 2" xfId="15771" xr:uid="{8E7BCB63-5E2E-4C68-9AA0-BC9BAB58BB80}"/>
    <cellStyle name="Normal 4 4 3 2 2 2 2 3" xfId="11553" xr:uid="{32976060-D482-408C-9194-99A6CD6A1AD8}"/>
    <cellStyle name="Normal 4 4 3 2 2 2 3" xfId="5176" xr:uid="{00000000-0005-0000-0000-00006A150000}"/>
    <cellStyle name="Normal 4 4 3 2 2 2 3 2" xfId="13626" xr:uid="{28F86EBB-2E5E-4330-98F2-A7B5824B4D45}"/>
    <cellStyle name="Normal 4 4 3 2 2 2 4" xfId="9408" xr:uid="{596EF4F5-6B23-4ACD-857F-63644A123BF2}"/>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2 2 2" xfId="16184" xr:uid="{96EC0C57-C3B3-4A80-9E58-B37B5E6E88C3}"/>
    <cellStyle name="Normal 4 4 3 2 2 3 2 3" xfId="11966" xr:uid="{723571F9-FFA0-4EDC-B78C-4CE5B1117CBE}"/>
    <cellStyle name="Normal 4 4 3 2 2 3 3" xfId="5589" xr:uid="{00000000-0005-0000-0000-00006E150000}"/>
    <cellStyle name="Normal 4 4 3 2 2 3 3 2" xfId="14039" xr:uid="{B4C05316-0DC8-4604-94ED-8840DE848D93}"/>
    <cellStyle name="Normal 4 4 3 2 2 3 4" xfId="9821" xr:uid="{76B28F3E-26AB-4C2B-AEBE-E80713E4B3F1}"/>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2 2 2" xfId="16597" xr:uid="{959D474E-F4C7-4287-8614-FF36C78B4960}"/>
    <cellStyle name="Normal 4 4 3 2 2 4 2 3" xfId="12379" xr:uid="{14323F34-41CB-40E0-A642-8AD5B303AA5C}"/>
    <cellStyle name="Normal 4 4 3 2 2 4 3" xfId="6002" xr:uid="{00000000-0005-0000-0000-000072150000}"/>
    <cellStyle name="Normal 4 4 3 2 2 4 3 2" xfId="14452" xr:uid="{8789F3C0-7281-48B7-A771-2689AC973806}"/>
    <cellStyle name="Normal 4 4 3 2 2 4 4" xfId="10234" xr:uid="{882BAC85-1809-4D8A-9577-3B0964F962A8}"/>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2 2 2" xfId="17010" xr:uid="{984D917D-91B0-4ED5-BD74-C2A99573FB7C}"/>
    <cellStyle name="Normal 4 4 3 2 2 5 2 3" xfId="12792" xr:uid="{EF109BF9-C45A-4EBC-8C37-1525E5B71097}"/>
    <cellStyle name="Normal 4 4 3 2 2 5 3" xfId="6415" xr:uid="{00000000-0005-0000-0000-000076150000}"/>
    <cellStyle name="Normal 4 4 3 2 2 5 3 2" xfId="14865" xr:uid="{843F3574-0722-4714-BAF9-C468097F176B}"/>
    <cellStyle name="Normal 4 4 3 2 2 5 4" xfId="10647" xr:uid="{27DE8C31-5108-4D16-B80E-B79D197B7FF0}"/>
    <cellStyle name="Normal 4 4 3 2 2 6" xfId="2545" xr:uid="{00000000-0005-0000-0000-000077150000}"/>
    <cellStyle name="Normal 4 4 3 2 2 6 2" xfId="6828" xr:uid="{00000000-0005-0000-0000-000078150000}"/>
    <cellStyle name="Normal 4 4 3 2 2 6 2 2" xfId="15278" xr:uid="{BE2135BC-38FB-488C-9F33-B20C52B9E9DB}"/>
    <cellStyle name="Normal 4 4 3 2 2 6 3" xfId="11060" xr:uid="{35E67BE1-24AF-4976-96BC-56F4B4701B3A}"/>
    <cellStyle name="Normal 4 4 3 2 2 7" xfId="4763" xr:uid="{00000000-0005-0000-0000-000079150000}"/>
    <cellStyle name="Normal 4 4 3 2 2 7 2" xfId="13213" xr:uid="{105FF424-0D73-4F03-AA96-FDC167DF227A}"/>
    <cellStyle name="Normal 4 4 3 2 2 8" xfId="8995" xr:uid="{96FC6691-53DB-429B-AB0F-E37C7E10770B}"/>
    <cellStyle name="Normal 4 4 3 2 3" xfId="863" xr:uid="{00000000-0005-0000-0000-00007A150000}"/>
    <cellStyle name="Normal 4 4 3 2 3 2" xfId="3098" xr:uid="{00000000-0005-0000-0000-00007B150000}"/>
    <cellStyle name="Normal 4 4 3 2 3 2 2" xfId="7320" xr:uid="{00000000-0005-0000-0000-00007C150000}"/>
    <cellStyle name="Normal 4 4 3 2 3 2 2 2" xfId="15770" xr:uid="{2C7CC7F6-CD14-4E59-88F3-B37FF78488B2}"/>
    <cellStyle name="Normal 4 4 3 2 3 2 3" xfId="11552" xr:uid="{68F97A52-2E0A-41E8-8945-2CD31563EE69}"/>
    <cellStyle name="Normal 4 4 3 2 3 3" xfId="5175" xr:uid="{00000000-0005-0000-0000-00007D150000}"/>
    <cellStyle name="Normal 4 4 3 2 3 3 2" xfId="13625" xr:uid="{1457761F-9545-4ABB-9462-8197B26AB4E6}"/>
    <cellStyle name="Normal 4 4 3 2 3 4" xfId="9407" xr:uid="{239F66A6-135F-4E90-8225-912ABA00B64F}"/>
    <cellStyle name="Normal 4 4 3 2 4" xfId="1281" xr:uid="{00000000-0005-0000-0000-00007E150000}"/>
    <cellStyle name="Normal 4 4 3 2 4 2" xfId="3511" xr:uid="{00000000-0005-0000-0000-00007F150000}"/>
    <cellStyle name="Normal 4 4 3 2 4 2 2" xfId="7733" xr:uid="{00000000-0005-0000-0000-000080150000}"/>
    <cellStyle name="Normal 4 4 3 2 4 2 2 2" xfId="16183" xr:uid="{5D3C49D3-0E54-46A5-823F-59E151333E1E}"/>
    <cellStyle name="Normal 4 4 3 2 4 2 3" xfId="11965" xr:uid="{A5E73E30-0FFF-4C4C-86FD-2C04D547BFA6}"/>
    <cellStyle name="Normal 4 4 3 2 4 3" xfId="5588" xr:uid="{00000000-0005-0000-0000-000081150000}"/>
    <cellStyle name="Normal 4 4 3 2 4 3 2" xfId="14038" xr:uid="{AE65DCD3-A56E-4D3F-B79B-6EF3962C5F0C}"/>
    <cellStyle name="Normal 4 4 3 2 4 4" xfId="9820" xr:uid="{0367F8BC-D21B-471C-9F80-8CB7D28701D5}"/>
    <cellStyle name="Normal 4 4 3 2 5" xfId="1694" xr:uid="{00000000-0005-0000-0000-000082150000}"/>
    <cellStyle name="Normal 4 4 3 2 5 2" xfId="3924" xr:uid="{00000000-0005-0000-0000-000083150000}"/>
    <cellStyle name="Normal 4 4 3 2 5 2 2" xfId="8146" xr:uid="{00000000-0005-0000-0000-000084150000}"/>
    <cellStyle name="Normal 4 4 3 2 5 2 2 2" xfId="16596" xr:uid="{F1FA54DB-6DFC-419C-93E4-CF1A99499996}"/>
    <cellStyle name="Normal 4 4 3 2 5 2 3" xfId="12378" xr:uid="{1D33388A-D6AF-412D-88CA-66B86A0A77B2}"/>
    <cellStyle name="Normal 4 4 3 2 5 3" xfId="6001" xr:uid="{00000000-0005-0000-0000-000085150000}"/>
    <cellStyle name="Normal 4 4 3 2 5 3 2" xfId="14451" xr:uid="{FE98AC7B-48D5-4414-92FA-770FC9DB4787}"/>
    <cellStyle name="Normal 4 4 3 2 5 4" xfId="10233" xr:uid="{9DE3176B-C31B-4F11-83F6-05399C233A51}"/>
    <cellStyle name="Normal 4 4 3 2 6" xfId="2108" xr:uid="{00000000-0005-0000-0000-000086150000}"/>
    <cellStyle name="Normal 4 4 3 2 6 2" xfId="4337" xr:uid="{00000000-0005-0000-0000-000087150000}"/>
    <cellStyle name="Normal 4 4 3 2 6 2 2" xfId="8559" xr:uid="{00000000-0005-0000-0000-000088150000}"/>
    <cellStyle name="Normal 4 4 3 2 6 2 2 2" xfId="17009" xr:uid="{E42EA852-49DD-4DEF-8FE0-2F65B3E3F565}"/>
    <cellStyle name="Normal 4 4 3 2 6 2 3" xfId="12791" xr:uid="{62C84060-FACB-4A26-8547-E27E2A049282}"/>
    <cellStyle name="Normal 4 4 3 2 6 3" xfId="6414" xr:uid="{00000000-0005-0000-0000-000089150000}"/>
    <cellStyle name="Normal 4 4 3 2 6 3 2" xfId="14864" xr:uid="{EA90B742-CC89-4E82-BAAB-76FFA9B497CE}"/>
    <cellStyle name="Normal 4 4 3 2 6 4" xfId="10646" xr:uid="{CD4A322C-BC8D-44A9-B513-39F000ECFF9D}"/>
    <cellStyle name="Normal 4 4 3 2 7" xfId="2544" xr:uid="{00000000-0005-0000-0000-00008A150000}"/>
    <cellStyle name="Normal 4 4 3 2 7 2" xfId="6827" xr:uid="{00000000-0005-0000-0000-00008B150000}"/>
    <cellStyle name="Normal 4 4 3 2 7 2 2" xfId="15277" xr:uid="{200AD6DD-32D7-43C7-9E96-760675ECC93C}"/>
    <cellStyle name="Normal 4 4 3 2 7 3" xfId="11059" xr:uid="{E938D62C-6E31-4B55-B9D4-5FE0E8B95E92}"/>
    <cellStyle name="Normal 4 4 3 2 8" xfId="4762" xr:uid="{00000000-0005-0000-0000-00008C150000}"/>
    <cellStyle name="Normal 4 4 3 2 8 2" xfId="13212" xr:uid="{976B825D-C585-4C52-BB5B-C10BD8AF544E}"/>
    <cellStyle name="Normal 4 4 3 2 9" xfId="8994" xr:uid="{3A0A3168-2009-497E-9528-88A522C8A8EF}"/>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2 2 2" xfId="15772" xr:uid="{13BA6468-8E39-422D-9953-823FFD8EA8C7}"/>
    <cellStyle name="Normal 4 4 3 3 2 2 3" xfId="11554" xr:uid="{B4BC5782-E834-44C8-98DE-B160C6BAEC8F}"/>
    <cellStyle name="Normal 4 4 3 3 2 3" xfId="5177" xr:uid="{00000000-0005-0000-0000-000091150000}"/>
    <cellStyle name="Normal 4 4 3 3 2 3 2" xfId="13627" xr:uid="{037EA4E6-DB7F-4114-9B4B-230FC3B53316}"/>
    <cellStyle name="Normal 4 4 3 3 2 4" xfId="9409" xr:uid="{090F9CA7-95A1-485A-B2C4-197D11505E64}"/>
    <cellStyle name="Normal 4 4 3 3 3" xfId="1283" xr:uid="{00000000-0005-0000-0000-000092150000}"/>
    <cellStyle name="Normal 4 4 3 3 3 2" xfId="3513" xr:uid="{00000000-0005-0000-0000-000093150000}"/>
    <cellStyle name="Normal 4 4 3 3 3 2 2" xfId="7735" xr:uid="{00000000-0005-0000-0000-000094150000}"/>
    <cellStyle name="Normal 4 4 3 3 3 2 2 2" xfId="16185" xr:uid="{DA17D784-EB15-46C3-A0CB-E009E3F71D68}"/>
    <cellStyle name="Normal 4 4 3 3 3 2 3" xfId="11967" xr:uid="{7954FB95-8021-49BE-9720-67C1AAAA689F}"/>
    <cellStyle name="Normal 4 4 3 3 3 3" xfId="5590" xr:uid="{00000000-0005-0000-0000-000095150000}"/>
    <cellStyle name="Normal 4 4 3 3 3 3 2" xfId="14040" xr:uid="{5D2DA34F-7ADD-4C3F-883F-A3B5AD5DD24D}"/>
    <cellStyle name="Normal 4 4 3 3 3 4" xfId="9822" xr:uid="{D63F8F79-0485-401B-B857-1B60F8F771B9}"/>
    <cellStyle name="Normal 4 4 3 3 4" xfId="1696" xr:uid="{00000000-0005-0000-0000-000096150000}"/>
    <cellStyle name="Normal 4 4 3 3 4 2" xfId="3926" xr:uid="{00000000-0005-0000-0000-000097150000}"/>
    <cellStyle name="Normal 4 4 3 3 4 2 2" xfId="8148" xr:uid="{00000000-0005-0000-0000-000098150000}"/>
    <cellStyle name="Normal 4 4 3 3 4 2 2 2" xfId="16598" xr:uid="{B619EBF8-4720-4DB2-9F06-6B9D508B386A}"/>
    <cellStyle name="Normal 4 4 3 3 4 2 3" xfId="12380" xr:uid="{D3C05019-3B66-4E04-BD02-FEF1834E0F95}"/>
    <cellStyle name="Normal 4 4 3 3 4 3" xfId="6003" xr:uid="{00000000-0005-0000-0000-000099150000}"/>
    <cellStyle name="Normal 4 4 3 3 4 3 2" xfId="14453" xr:uid="{C098D55E-ECD7-4633-A326-0923358D242F}"/>
    <cellStyle name="Normal 4 4 3 3 4 4" xfId="10235" xr:uid="{472B7274-2BAE-414F-BFDF-4380D0A50278}"/>
    <cellStyle name="Normal 4 4 3 3 5" xfId="2110" xr:uid="{00000000-0005-0000-0000-00009A150000}"/>
    <cellStyle name="Normal 4 4 3 3 5 2" xfId="4339" xr:uid="{00000000-0005-0000-0000-00009B150000}"/>
    <cellStyle name="Normal 4 4 3 3 5 2 2" xfId="8561" xr:uid="{00000000-0005-0000-0000-00009C150000}"/>
    <cellStyle name="Normal 4 4 3 3 5 2 2 2" xfId="17011" xr:uid="{BACA1DC1-345D-40A9-9206-88B9DC993C5B}"/>
    <cellStyle name="Normal 4 4 3 3 5 2 3" xfId="12793" xr:uid="{883C096E-0002-4915-A341-628E461CC722}"/>
    <cellStyle name="Normal 4 4 3 3 5 3" xfId="6416" xr:uid="{00000000-0005-0000-0000-00009D150000}"/>
    <cellStyle name="Normal 4 4 3 3 5 3 2" xfId="14866" xr:uid="{264B742C-3CA3-434E-95D0-91C3D5D8B411}"/>
    <cellStyle name="Normal 4 4 3 3 5 4" xfId="10648" xr:uid="{3907CB25-987B-451F-AC18-B3305C076BDA}"/>
    <cellStyle name="Normal 4 4 3 3 6" xfId="2546" xr:uid="{00000000-0005-0000-0000-00009E150000}"/>
    <cellStyle name="Normal 4 4 3 3 6 2" xfId="6829" xr:uid="{00000000-0005-0000-0000-00009F150000}"/>
    <cellStyle name="Normal 4 4 3 3 6 2 2" xfId="15279" xr:uid="{6428F900-015A-4F99-84F5-5909A37C37F6}"/>
    <cellStyle name="Normal 4 4 3 3 6 3" xfId="11061" xr:uid="{4A7CE804-5A67-44EC-998E-9918C1420502}"/>
    <cellStyle name="Normal 4 4 3 3 7" xfId="4764" xr:uid="{00000000-0005-0000-0000-0000A0150000}"/>
    <cellStyle name="Normal 4 4 3 3 7 2" xfId="13214" xr:uid="{8B583208-5C08-48E0-B89F-95B3B472B189}"/>
    <cellStyle name="Normal 4 4 3 3 8" xfId="8996" xr:uid="{3EDE9006-1599-4F65-BFB8-782F49B76E5D}"/>
    <cellStyle name="Normal 4 4 3 4" xfId="862" xr:uid="{00000000-0005-0000-0000-0000A1150000}"/>
    <cellStyle name="Normal 4 4 3 4 2" xfId="3097" xr:uid="{00000000-0005-0000-0000-0000A2150000}"/>
    <cellStyle name="Normal 4 4 3 4 2 2" xfId="7319" xr:uid="{00000000-0005-0000-0000-0000A3150000}"/>
    <cellStyle name="Normal 4 4 3 4 2 2 2" xfId="15769" xr:uid="{59377AD4-1E53-4E12-9B72-4EA45816401D}"/>
    <cellStyle name="Normal 4 4 3 4 2 3" xfId="11551" xr:uid="{E7C70C1B-CA51-4FB2-911A-D930ED98D045}"/>
    <cellStyle name="Normal 4 4 3 4 3" xfId="5174" xr:uid="{00000000-0005-0000-0000-0000A4150000}"/>
    <cellStyle name="Normal 4 4 3 4 3 2" xfId="13624" xr:uid="{4C221CBD-348E-44C6-B377-597C3E57EC54}"/>
    <cellStyle name="Normal 4 4 3 4 4" xfId="9406" xr:uid="{94507C53-00F8-4394-B003-9C65CBC7E82F}"/>
    <cellStyle name="Normal 4 4 3 5" xfId="1280" xr:uid="{00000000-0005-0000-0000-0000A5150000}"/>
    <cellStyle name="Normal 4 4 3 5 2" xfId="3510" xr:uid="{00000000-0005-0000-0000-0000A6150000}"/>
    <cellStyle name="Normal 4 4 3 5 2 2" xfId="7732" xr:uid="{00000000-0005-0000-0000-0000A7150000}"/>
    <cellStyle name="Normal 4 4 3 5 2 2 2" xfId="16182" xr:uid="{4ADA53B5-FA29-4EE6-8189-CA73A70AEA9F}"/>
    <cellStyle name="Normal 4 4 3 5 2 3" xfId="11964" xr:uid="{1175F12F-92F9-46DA-A1FA-6C62CB3A2577}"/>
    <cellStyle name="Normal 4 4 3 5 3" xfId="5587" xr:uid="{00000000-0005-0000-0000-0000A8150000}"/>
    <cellStyle name="Normal 4 4 3 5 3 2" xfId="14037" xr:uid="{221F1D20-AE47-4954-A2A0-A2DF9F9DBFA4}"/>
    <cellStyle name="Normal 4 4 3 5 4" xfId="9819" xr:uid="{E168F8AE-00F5-48D1-B2E2-6E5AD77040D9}"/>
    <cellStyle name="Normal 4 4 3 6" xfId="1693" xr:uid="{00000000-0005-0000-0000-0000A9150000}"/>
    <cellStyle name="Normal 4 4 3 6 2" xfId="3923" xr:uid="{00000000-0005-0000-0000-0000AA150000}"/>
    <cellStyle name="Normal 4 4 3 6 2 2" xfId="8145" xr:uid="{00000000-0005-0000-0000-0000AB150000}"/>
    <cellStyle name="Normal 4 4 3 6 2 2 2" xfId="16595" xr:uid="{27878A2E-3F39-4C4E-821C-4A2AF1D8AF11}"/>
    <cellStyle name="Normal 4 4 3 6 2 3" xfId="12377" xr:uid="{C1DF35FA-FF45-43E1-9748-78B61A64C73B}"/>
    <cellStyle name="Normal 4 4 3 6 3" xfId="6000" xr:uid="{00000000-0005-0000-0000-0000AC150000}"/>
    <cellStyle name="Normal 4 4 3 6 3 2" xfId="14450" xr:uid="{B1205A81-E97E-476B-BE36-D6AD1C271B8E}"/>
    <cellStyle name="Normal 4 4 3 6 4" xfId="10232" xr:uid="{F56590B8-D28D-493B-918B-44E264F97D8E}"/>
    <cellStyle name="Normal 4 4 3 7" xfId="2107" xr:uid="{00000000-0005-0000-0000-0000AD150000}"/>
    <cellStyle name="Normal 4 4 3 7 2" xfId="4336" xr:uid="{00000000-0005-0000-0000-0000AE150000}"/>
    <cellStyle name="Normal 4 4 3 7 2 2" xfId="8558" xr:uid="{00000000-0005-0000-0000-0000AF150000}"/>
    <cellStyle name="Normal 4 4 3 7 2 2 2" xfId="17008" xr:uid="{17B374B6-8732-4FC3-ADE4-2D7146464AAB}"/>
    <cellStyle name="Normal 4 4 3 7 2 3" xfId="12790" xr:uid="{47E86236-8F96-430B-B3F0-76C31FC7FFA9}"/>
    <cellStyle name="Normal 4 4 3 7 3" xfId="6413" xr:uid="{00000000-0005-0000-0000-0000B0150000}"/>
    <cellStyle name="Normal 4 4 3 7 3 2" xfId="14863" xr:uid="{08234232-777D-4CFD-8AEB-F9FD64D1DDBA}"/>
    <cellStyle name="Normal 4 4 3 7 4" xfId="10645" xr:uid="{0987CBA3-DDB5-417B-BE02-0964F77A4110}"/>
    <cellStyle name="Normal 4 4 3 8" xfId="2543" xr:uid="{00000000-0005-0000-0000-0000B1150000}"/>
    <cellStyle name="Normal 4 4 3 8 2" xfId="6826" xr:uid="{00000000-0005-0000-0000-0000B2150000}"/>
    <cellStyle name="Normal 4 4 3 8 2 2" xfId="15276" xr:uid="{74C70805-3ED2-4887-9412-E5BCCFE80B53}"/>
    <cellStyle name="Normal 4 4 3 8 3" xfId="11058" xr:uid="{CEA76AC9-8BE0-49B9-B20F-A50BF9CCEC32}"/>
    <cellStyle name="Normal 4 4 3 9" xfId="4761" xr:uid="{00000000-0005-0000-0000-0000B3150000}"/>
    <cellStyle name="Normal 4 4 3 9 2" xfId="13211" xr:uid="{473E0551-56DE-49ED-93FC-55B532A1E616}"/>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2 2 2" xfId="15774" xr:uid="{C0A8E823-B7B9-4EC8-B709-47F96E64C940}"/>
    <cellStyle name="Normal 4 4 4 2 2 2 3" xfId="11556" xr:uid="{8BE48E44-5C1B-467B-86DB-D537AAE82C1A}"/>
    <cellStyle name="Normal 4 4 4 2 2 3" xfId="5179" xr:uid="{00000000-0005-0000-0000-0000B9150000}"/>
    <cellStyle name="Normal 4 4 4 2 2 3 2" xfId="13629" xr:uid="{E298B6B9-86D5-44BA-94AB-DB46AA2A121A}"/>
    <cellStyle name="Normal 4 4 4 2 2 4" xfId="9411" xr:uid="{C090988E-8392-465D-8916-D31C12C4973F}"/>
    <cellStyle name="Normal 4 4 4 2 3" xfId="1285" xr:uid="{00000000-0005-0000-0000-0000BA150000}"/>
    <cellStyle name="Normal 4 4 4 2 3 2" xfId="3515" xr:uid="{00000000-0005-0000-0000-0000BB150000}"/>
    <cellStyle name="Normal 4 4 4 2 3 2 2" xfId="7737" xr:uid="{00000000-0005-0000-0000-0000BC150000}"/>
    <cellStyle name="Normal 4 4 4 2 3 2 2 2" xfId="16187" xr:uid="{ED7EA755-F8A9-4667-B977-CC5792674143}"/>
    <cellStyle name="Normal 4 4 4 2 3 2 3" xfId="11969" xr:uid="{449A68A6-1B54-40EA-A84B-BC63868DC351}"/>
    <cellStyle name="Normal 4 4 4 2 3 3" xfId="5592" xr:uid="{00000000-0005-0000-0000-0000BD150000}"/>
    <cellStyle name="Normal 4 4 4 2 3 3 2" xfId="14042" xr:uid="{658C9EA8-3850-4426-9169-48B62625FCF1}"/>
    <cellStyle name="Normal 4 4 4 2 3 4" xfId="9824" xr:uid="{CDB9ABDE-CB8E-4FC1-847A-9A4C0B324F65}"/>
    <cellStyle name="Normal 4 4 4 2 4" xfId="1698" xr:uid="{00000000-0005-0000-0000-0000BE150000}"/>
    <cellStyle name="Normal 4 4 4 2 4 2" xfId="3928" xr:uid="{00000000-0005-0000-0000-0000BF150000}"/>
    <cellStyle name="Normal 4 4 4 2 4 2 2" xfId="8150" xr:uid="{00000000-0005-0000-0000-0000C0150000}"/>
    <cellStyle name="Normal 4 4 4 2 4 2 2 2" xfId="16600" xr:uid="{456A45DB-F6B4-4FEE-A861-59B6B8602AC3}"/>
    <cellStyle name="Normal 4 4 4 2 4 2 3" xfId="12382" xr:uid="{FD83C432-3ADF-449E-BDB6-3136E0D4B466}"/>
    <cellStyle name="Normal 4 4 4 2 4 3" xfId="6005" xr:uid="{00000000-0005-0000-0000-0000C1150000}"/>
    <cellStyle name="Normal 4 4 4 2 4 3 2" xfId="14455" xr:uid="{B74856D1-E2A8-4C8B-896F-DC7C31B71378}"/>
    <cellStyle name="Normal 4 4 4 2 4 4" xfId="10237" xr:uid="{D6A05BC4-9797-4F51-AE27-1F266CAAD43F}"/>
    <cellStyle name="Normal 4 4 4 2 5" xfId="2112" xr:uid="{00000000-0005-0000-0000-0000C2150000}"/>
    <cellStyle name="Normal 4 4 4 2 5 2" xfId="4341" xr:uid="{00000000-0005-0000-0000-0000C3150000}"/>
    <cellStyle name="Normal 4 4 4 2 5 2 2" xfId="8563" xr:uid="{00000000-0005-0000-0000-0000C4150000}"/>
    <cellStyle name="Normal 4 4 4 2 5 2 2 2" xfId="17013" xr:uid="{0CA6B3DE-D258-402C-9CC2-BD03DBACAA2A}"/>
    <cellStyle name="Normal 4 4 4 2 5 2 3" xfId="12795" xr:uid="{32845CE2-0613-4F8A-AB65-16D53768FA4F}"/>
    <cellStyle name="Normal 4 4 4 2 5 3" xfId="6418" xr:uid="{00000000-0005-0000-0000-0000C5150000}"/>
    <cellStyle name="Normal 4 4 4 2 5 3 2" xfId="14868" xr:uid="{589F77DC-A5BE-4AC6-A22E-854F54E5D951}"/>
    <cellStyle name="Normal 4 4 4 2 5 4" xfId="10650" xr:uid="{8010E992-5CC9-4FA1-8561-6D2CB7AC0EE0}"/>
    <cellStyle name="Normal 4 4 4 2 6" xfId="2548" xr:uid="{00000000-0005-0000-0000-0000C6150000}"/>
    <cellStyle name="Normal 4 4 4 2 6 2" xfId="6831" xr:uid="{00000000-0005-0000-0000-0000C7150000}"/>
    <cellStyle name="Normal 4 4 4 2 6 2 2" xfId="15281" xr:uid="{CD8548D9-159D-4DE7-B508-E935506A68B2}"/>
    <cellStyle name="Normal 4 4 4 2 6 3" xfId="11063" xr:uid="{088A2A18-18CA-48A2-96C4-D1E1764D4212}"/>
    <cellStyle name="Normal 4 4 4 2 7" xfId="4766" xr:uid="{00000000-0005-0000-0000-0000C8150000}"/>
    <cellStyle name="Normal 4 4 4 2 7 2" xfId="13216" xr:uid="{CE71F818-CF9C-4F40-90B9-34C85DDAB766}"/>
    <cellStyle name="Normal 4 4 4 2 8" xfId="8998" xr:uid="{FC6D96F6-7782-44C2-93E5-2B58C40CFD64}"/>
    <cellStyle name="Normal 4 4 4 3" xfId="866" xr:uid="{00000000-0005-0000-0000-0000C9150000}"/>
    <cellStyle name="Normal 4 4 4 3 2" xfId="3101" xr:uid="{00000000-0005-0000-0000-0000CA150000}"/>
    <cellStyle name="Normal 4 4 4 3 2 2" xfId="7323" xr:uid="{00000000-0005-0000-0000-0000CB150000}"/>
    <cellStyle name="Normal 4 4 4 3 2 2 2" xfId="15773" xr:uid="{45F394FE-26CC-465C-8A84-1887AFC6EE46}"/>
    <cellStyle name="Normal 4 4 4 3 2 3" xfId="11555" xr:uid="{336C9A20-2C5E-4F2D-A846-64A41386E0FA}"/>
    <cellStyle name="Normal 4 4 4 3 3" xfId="5178" xr:uid="{00000000-0005-0000-0000-0000CC150000}"/>
    <cellStyle name="Normal 4 4 4 3 3 2" xfId="13628" xr:uid="{3959F37F-7D8F-452E-AF2E-40931C795500}"/>
    <cellStyle name="Normal 4 4 4 3 4" xfId="9410" xr:uid="{5004FC0D-6F5D-49D7-94CA-6A714127B913}"/>
    <cellStyle name="Normal 4 4 4 4" xfId="1284" xr:uid="{00000000-0005-0000-0000-0000CD150000}"/>
    <cellStyle name="Normal 4 4 4 4 2" xfId="3514" xr:uid="{00000000-0005-0000-0000-0000CE150000}"/>
    <cellStyle name="Normal 4 4 4 4 2 2" xfId="7736" xr:uid="{00000000-0005-0000-0000-0000CF150000}"/>
    <cellStyle name="Normal 4 4 4 4 2 2 2" xfId="16186" xr:uid="{9A640DEB-4984-4C3E-95B5-952C3B1B66B9}"/>
    <cellStyle name="Normal 4 4 4 4 2 3" xfId="11968" xr:uid="{6D8E2EE7-A88A-4018-BB97-89F86E21E441}"/>
    <cellStyle name="Normal 4 4 4 4 3" xfId="5591" xr:uid="{00000000-0005-0000-0000-0000D0150000}"/>
    <cellStyle name="Normal 4 4 4 4 3 2" xfId="14041" xr:uid="{FE524A2F-E7D3-4C5C-861F-3D1557CC97BE}"/>
    <cellStyle name="Normal 4 4 4 4 4" xfId="9823" xr:uid="{FDBAB6C2-A768-4A75-8CCD-9E56CC4076B1}"/>
    <cellStyle name="Normal 4 4 4 5" xfId="1697" xr:uid="{00000000-0005-0000-0000-0000D1150000}"/>
    <cellStyle name="Normal 4 4 4 5 2" xfId="3927" xr:uid="{00000000-0005-0000-0000-0000D2150000}"/>
    <cellStyle name="Normal 4 4 4 5 2 2" xfId="8149" xr:uid="{00000000-0005-0000-0000-0000D3150000}"/>
    <cellStyle name="Normal 4 4 4 5 2 2 2" xfId="16599" xr:uid="{41C0A9FD-AAB4-48E2-8B1B-E88A1C92B5F0}"/>
    <cellStyle name="Normal 4 4 4 5 2 3" xfId="12381" xr:uid="{82E3D337-60F4-43FB-B4BC-B060A603CABD}"/>
    <cellStyle name="Normal 4 4 4 5 3" xfId="6004" xr:uid="{00000000-0005-0000-0000-0000D4150000}"/>
    <cellStyle name="Normal 4 4 4 5 3 2" xfId="14454" xr:uid="{B9D1C878-3A14-4031-8293-D919DDCDEC64}"/>
    <cellStyle name="Normal 4 4 4 5 4" xfId="10236" xr:uid="{5A53F39E-FBF3-4C28-BECF-3610662DB80F}"/>
    <cellStyle name="Normal 4 4 4 6" xfId="2111" xr:uid="{00000000-0005-0000-0000-0000D5150000}"/>
    <cellStyle name="Normal 4 4 4 6 2" xfId="4340" xr:uid="{00000000-0005-0000-0000-0000D6150000}"/>
    <cellStyle name="Normal 4 4 4 6 2 2" xfId="8562" xr:uid="{00000000-0005-0000-0000-0000D7150000}"/>
    <cellStyle name="Normal 4 4 4 6 2 2 2" xfId="17012" xr:uid="{F1A502FA-8B61-442A-92F3-85462A3931B8}"/>
    <cellStyle name="Normal 4 4 4 6 2 3" xfId="12794" xr:uid="{4FFBF9B0-6725-4FDF-A08D-5A5700956CAB}"/>
    <cellStyle name="Normal 4 4 4 6 3" xfId="6417" xr:uid="{00000000-0005-0000-0000-0000D8150000}"/>
    <cellStyle name="Normal 4 4 4 6 3 2" xfId="14867" xr:uid="{50A60706-05A2-4B67-832C-5D352B6078C3}"/>
    <cellStyle name="Normal 4 4 4 6 4" xfId="10649" xr:uid="{C5C9668C-89D8-4D17-B357-E7A8E692C2DC}"/>
    <cellStyle name="Normal 4 4 4 7" xfId="2547" xr:uid="{00000000-0005-0000-0000-0000D9150000}"/>
    <cellStyle name="Normal 4 4 4 7 2" xfId="6830" xr:uid="{00000000-0005-0000-0000-0000DA150000}"/>
    <cellStyle name="Normal 4 4 4 7 2 2" xfId="15280" xr:uid="{797A33A0-B80C-4541-8F46-8D12DCEDB4D7}"/>
    <cellStyle name="Normal 4 4 4 7 3" xfId="11062" xr:uid="{BBA02FA5-B437-4E2B-A07B-4810DC658A4D}"/>
    <cellStyle name="Normal 4 4 4 8" xfId="4765" xr:uid="{00000000-0005-0000-0000-0000DB150000}"/>
    <cellStyle name="Normal 4 4 4 8 2" xfId="13215" xr:uid="{29FD25B2-A8C6-44C3-8B69-37822E44D777}"/>
    <cellStyle name="Normal 4 4 4 9" xfId="8997" xr:uid="{42228D33-37DF-4352-AF9A-465EC9F748C7}"/>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2 2 2" xfId="15775" xr:uid="{7DDF07C3-C5F3-4E15-BF19-AEB56667287C}"/>
    <cellStyle name="Normal 4 4 5 2 2 3" xfId="11557" xr:uid="{0F549ADB-DD91-4407-8CD1-740388F6006B}"/>
    <cellStyle name="Normal 4 4 5 2 3" xfId="5180" xr:uid="{00000000-0005-0000-0000-0000E0150000}"/>
    <cellStyle name="Normal 4 4 5 2 3 2" xfId="13630" xr:uid="{3285D959-AA34-421B-AC10-7B05072D01B7}"/>
    <cellStyle name="Normal 4 4 5 2 4" xfId="9412" xr:uid="{77BE2588-D499-498F-BC19-7C8D6C4E45C2}"/>
    <cellStyle name="Normal 4 4 5 3" xfId="1286" xr:uid="{00000000-0005-0000-0000-0000E1150000}"/>
    <cellStyle name="Normal 4 4 5 3 2" xfId="3516" xr:uid="{00000000-0005-0000-0000-0000E2150000}"/>
    <cellStyle name="Normal 4 4 5 3 2 2" xfId="7738" xr:uid="{00000000-0005-0000-0000-0000E3150000}"/>
    <cellStyle name="Normal 4 4 5 3 2 2 2" xfId="16188" xr:uid="{05D4A604-23A6-4B6E-A070-DA0215A5F76B}"/>
    <cellStyle name="Normal 4 4 5 3 2 3" xfId="11970" xr:uid="{225EC58B-291B-4527-BAE0-EBCA0196B185}"/>
    <cellStyle name="Normal 4 4 5 3 3" xfId="5593" xr:uid="{00000000-0005-0000-0000-0000E4150000}"/>
    <cellStyle name="Normal 4 4 5 3 3 2" xfId="14043" xr:uid="{562C817A-9771-4FF0-A305-C587754BD540}"/>
    <cellStyle name="Normal 4 4 5 3 4" xfId="9825" xr:uid="{20167E78-156E-4910-918A-40EFB89883B1}"/>
    <cellStyle name="Normal 4 4 5 4" xfId="1699" xr:uid="{00000000-0005-0000-0000-0000E5150000}"/>
    <cellStyle name="Normal 4 4 5 4 2" xfId="3929" xr:uid="{00000000-0005-0000-0000-0000E6150000}"/>
    <cellStyle name="Normal 4 4 5 4 2 2" xfId="8151" xr:uid="{00000000-0005-0000-0000-0000E7150000}"/>
    <cellStyle name="Normal 4 4 5 4 2 2 2" xfId="16601" xr:uid="{E622799B-75B6-4B72-B787-B8DE8F0F9394}"/>
    <cellStyle name="Normal 4 4 5 4 2 3" xfId="12383" xr:uid="{11FF3CCF-7181-4855-9B84-24E8F81B1F86}"/>
    <cellStyle name="Normal 4 4 5 4 3" xfId="6006" xr:uid="{00000000-0005-0000-0000-0000E8150000}"/>
    <cellStyle name="Normal 4 4 5 4 3 2" xfId="14456" xr:uid="{9CBA0DD1-F6F1-47B2-824A-DEA62AFD0C11}"/>
    <cellStyle name="Normal 4 4 5 4 4" xfId="10238" xr:uid="{D92AD4AF-41C3-4C43-A0A6-3E3937612389}"/>
    <cellStyle name="Normal 4 4 5 5" xfId="2113" xr:uid="{00000000-0005-0000-0000-0000E9150000}"/>
    <cellStyle name="Normal 4 4 5 5 2" xfId="4342" xr:uid="{00000000-0005-0000-0000-0000EA150000}"/>
    <cellStyle name="Normal 4 4 5 5 2 2" xfId="8564" xr:uid="{00000000-0005-0000-0000-0000EB150000}"/>
    <cellStyle name="Normal 4 4 5 5 2 2 2" xfId="17014" xr:uid="{5579C47B-6A58-4E0D-9618-D9FB10B05AAA}"/>
    <cellStyle name="Normal 4 4 5 5 2 3" xfId="12796" xr:uid="{A1590098-2831-452C-9B8D-9F97FB2BBB84}"/>
    <cellStyle name="Normal 4 4 5 5 3" xfId="6419" xr:uid="{00000000-0005-0000-0000-0000EC150000}"/>
    <cellStyle name="Normal 4 4 5 5 3 2" xfId="14869" xr:uid="{D84BE134-5546-49F7-997B-973D40B1A5DC}"/>
    <cellStyle name="Normal 4 4 5 5 4" xfId="10651" xr:uid="{C3B6CCB4-EE8D-4BB7-9207-44EBB6486E22}"/>
    <cellStyle name="Normal 4 4 5 6" xfId="2549" xr:uid="{00000000-0005-0000-0000-0000ED150000}"/>
    <cellStyle name="Normal 4 4 5 6 2" xfId="6832" xr:uid="{00000000-0005-0000-0000-0000EE150000}"/>
    <cellStyle name="Normal 4 4 5 6 2 2" xfId="15282" xr:uid="{2CCDD885-E1ED-435E-87E5-81E6657F37A4}"/>
    <cellStyle name="Normal 4 4 5 6 3" xfId="11064" xr:uid="{3437615D-04A1-460B-80D4-D19EA6993D11}"/>
    <cellStyle name="Normal 4 4 5 7" xfId="4767" xr:uid="{00000000-0005-0000-0000-0000EF150000}"/>
    <cellStyle name="Normal 4 4 5 7 2" xfId="13217" xr:uid="{A97B4177-C9E3-4320-AA55-B138A525EB8F}"/>
    <cellStyle name="Normal 4 4 5 8" xfId="8999" xr:uid="{1785F624-4C45-48DB-BAB6-7A5A56BB99F8}"/>
    <cellStyle name="Normal 4 4 6" xfId="853" xr:uid="{00000000-0005-0000-0000-0000F0150000}"/>
    <cellStyle name="Normal 4 4 6 2" xfId="3088" xr:uid="{00000000-0005-0000-0000-0000F1150000}"/>
    <cellStyle name="Normal 4 4 6 2 2" xfId="7310" xr:uid="{00000000-0005-0000-0000-0000F2150000}"/>
    <cellStyle name="Normal 4 4 6 2 2 2" xfId="15760" xr:uid="{733AD891-207B-481C-AA59-EBCC3E629773}"/>
    <cellStyle name="Normal 4 4 6 2 3" xfId="11542" xr:uid="{6ABA0732-CA46-4C38-A35C-E3EF5D98E719}"/>
    <cellStyle name="Normal 4 4 6 3" xfId="5165" xr:uid="{00000000-0005-0000-0000-0000F3150000}"/>
    <cellStyle name="Normal 4 4 6 3 2" xfId="13615" xr:uid="{7AFC75D3-A73C-4160-82E0-2FBEB9708BBC}"/>
    <cellStyle name="Normal 4 4 6 4" xfId="9397" xr:uid="{9B46D1DD-47EC-45FF-8DA3-BEC281513E1E}"/>
    <cellStyle name="Normal 4 4 7" xfId="1271" xr:uid="{00000000-0005-0000-0000-0000F4150000}"/>
    <cellStyle name="Normal 4 4 7 2" xfId="3501" xr:uid="{00000000-0005-0000-0000-0000F5150000}"/>
    <cellStyle name="Normal 4 4 7 2 2" xfId="7723" xr:uid="{00000000-0005-0000-0000-0000F6150000}"/>
    <cellStyle name="Normal 4 4 7 2 2 2" xfId="16173" xr:uid="{72A9C06E-4450-44B4-929C-B9082B89A1CC}"/>
    <cellStyle name="Normal 4 4 7 2 3" xfId="11955" xr:uid="{6BCCFF22-2ED6-4D5A-BF7F-C84D52FC3151}"/>
    <cellStyle name="Normal 4 4 7 3" xfId="5578" xr:uid="{00000000-0005-0000-0000-0000F7150000}"/>
    <cellStyle name="Normal 4 4 7 3 2" xfId="14028" xr:uid="{95284EB5-EEBB-4F4A-96E0-324B5778BAFD}"/>
    <cellStyle name="Normal 4 4 7 4" xfId="9810" xr:uid="{708B476F-C436-432B-9EF0-1EBC38BE52FC}"/>
    <cellStyle name="Normal 4 4 8" xfId="1684" xr:uid="{00000000-0005-0000-0000-0000F8150000}"/>
    <cellStyle name="Normal 4 4 8 2" xfId="3914" xr:uid="{00000000-0005-0000-0000-0000F9150000}"/>
    <cellStyle name="Normal 4 4 8 2 2" xfId="8136" xr:uid="{00000000-0005-0000-0000-0000FA150000}"/>
    <cellStyle name="Normal 4 4 8 2 2 2" xfId="16586" xr:uid="{A8BBAC3E-FFFA-4DA6-B519-F732A9B388A1}"/>
    <cellStyle name="Normal 4 4 8 2 3" xfId="12368" xr:uid="{AFF5EDA3-D8BD-41BB-93F6-1730F5FC3073}"/>
    <cellStyle name="Normal 4 4 8 3" xfId="5991" xr:uid="{00000000-0005-0000-0000-0000FB150000}"/>
    <cellStyle name="Normal 4 4 8 3 2" xfId="14441" xr:uid="{370798C6-5C91-4AEF-A894-5AF65AD8D41E}"/>
    <cellStyle name="Normal 4 4 8 4" xfId="10223" xr:uid="{513A283C-142E-4B96-AD78-E48E3FA54078}"/>
    <cellStyle name="Normal 4 4 9" xfId="2098" xr:uid="{00000000-0005-0000-0000-0000FC150000}"/>
    <cellStyle name="Normal 4 4 9 2" xfId="4327" xr:uid="{00000000-0005-0000-0000-0000FD150000}"/>
    <cellStyle name="Normal 4 4 9 2 2" xfId="8549" xr:uid="{00000000-0005-0000-0000-0000FE150000}"/>
    <cellStyle name="Normal 4 4 9 2 2 2" xfId="16999" xr:uid="{202C9321-FA88-43A2-A9A4-112757574724}"/>
    <cellStyle name="Normal 4 4 9 2 3" xfId="12781" xr:uid="{C49E344E-25DB-4C71-A0E6-ACF7FA1C2677}"/>
    <cellStyle name="Normal 4 4 9 3" xfId="6404" xr:uid="{00000000-0005-0000-0000-0000FF150000}"/>
    <cellStyle name="Normal 4 4 9 3 2" xfId="14854" xr:uid="{6D10BB21-AA3A-40CA-857D-77AF2AFCC498}"/>
    <cellStyle name="Normal 4 4 9 4" xfId="10636" xr:uid="{94D45F8C-07AE-4524-BF34-63ACE970D201}"/>
    <cellStyle name="Normal 4 5" xfId="394" xr:uid="{00000000-0005-0000-0000-000000160000}"/>
    <cellStyle name="Normal 4 6" xfId="395" xr:uid="{00000000-0005-0000-0000-000001160000}"/>
    <cellStyle name="Normal 4 6 10" xfId="4768" xr:uid="{00000000-0005-0000-0000-000002160000}"/>
    <cellStyle name="Normal 4 6 10 2" xfId="13218" xr:uid="{E1C38B3E-4AE9-489D-B92E-8B1909EB4F6D}"/>
    <cellStyle name="Normal 4 6 11" xfId="9000" xr:uid="{380EEF49-D026-4992-943D-13AD481EBAD4}"/>
    <cellStyle name="Normal 4 6 2" xfId="396" xr:uid="{00000000-0005-0000-0000-000003160000}"/>
    <cellStyle name="Normal 4 6 2 10" xfId="9001" xr:uid="{98C8BEB7-0876-4A49-B05F-83A11EAB868A}"/>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2 2 2" xfId="15779" xr:uid="{37B28461-65E4-408F-9646-372B0E32487A}"/>
    <cellStyle name="Normal 4 6 2 2 2 2 2 3" xfId="11561" xr:uid="{9C31ED17-24CF-4406-B560-1ADC6F74A25F}"/>
    <cellStyle name="Normal 4 6 2 2 2 2 3" xfId="5184" xr:uid="{00000000-0005-0000-0000-000009160000}"/>
    <cellStyle name="Normal 4 6 2 2 2 2 3 2" xfId="13634" xr:uid="{3E84EBA9-A5E9-4F7D-B776-BA9079BA35D5}"/>
    <cellStyle name="Normal 4 6 2 2 2 2 4" xfId="9416" xr:uid="{381ECB03-72D5-4758-8A98-871400B04DA7}"/>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2 2 2" xfId="16192" xr:uid="{1E9EB95E-F146-4121-AE3C-95208159E718}"/>
    <cellStyle name="Normal 4 6 2 2 2 3 2 3" xfId="11974" xr:uid="{6EE336C1-503C-461E-97D5-4695601EFDFA}"/>
    <cellStyle name="Normal 4 6 2 2 2 3 3" xfId="5597" xr:uid="{00000000-0005-0000-0000-00000D160000}"/>
    <cellStyle name="Normal 4 6 2 2 2 3 3 2" xfId="14047" xr:uid="{45FEEE00-8011-4EF8-855F-67CD7FD22868}"/>
    <cellStyle name="Normal 4 6 2 2 2 3 4" xfId="9829" xr:uid="{8F236386-B8AA-4C0D-AEFB-F3C9006012C5}"/>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2 2 2" xfId="16605" xr:uid="{2C4AD571-A7E8-44CA-AAA4-A1030649B1A4}"/>
    <cellStyle name="Normal 4 6 2 2 2 4 2 3" xfId="12387" xr:uid="{8142B36C-5D6F-4782-BF52-C4A845F7AC62}"/>
    <cellStyle name="Normal 4 6 2 2 2 4 3" xfId="6010" xr:uid="{00000000-0005-0000-0000-000011160000}"/>
    <cellStyle name="Normal 4 6 2 2 2 4 3 2" xfId="14460" xr:uid="{99AE9917-F529-46B0-BEF8-1600F97B0C8A}"/>
    <cellStyle name="Normal 4 6 2 2 2 4 4" xfId="10242" xr:uid="{6CA8ACAF-AA1F-4018-9111-30A3566EDED8}"/>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2 2 2" xfId="17018" xr:uid="{6D346FEE-F30F-4D25-9C09-6833303C4816}"/>
    <cellStyle name="Normal 4 6 2 2 2 5 2 3" xfId="12800" xr:uid="{52D6617B-76AE-4EE6-986C-54B1AEF59305}"/>
    <cellStyle name="Normal 4 6 2 2 2 5 3" xfId="6423" xr:uid="{00000000-0005-0000-0000-000015160000}"/>
    <cellStyle name="Normal 4 6 2 2 2 5 3 2" xfId="14873" xr:uid="{58C3055A-A820-4122-8605-026245B5963E}"/>
    <cellStyle name="Normal 4 6 2 2 2 5 4" xfId="10655" xr:uid="{BFDBD82F-D143-465D-A8DC-F51B4D72F9D0}"/>
    <cellStyle name="Normal 4 6 2 2 2 6" xfId="2553" xr:uid="{00000000-0005-0000-0000-000016160000}"/>
    <cellStyle name="Normal 4 6 2 2 2 6 2" xfId="6836" xr:uid="{00000000-0005-0000-0000-000017160000}"/>
    <cellStyle name="Normal 4 6 2 2 2 6 2 2" xfId="15286" xr:uid="{AC2D1C2A-A6EE-4C32-BBD3-A27FCABB9695}"/>
    <cellStyle name="Normal 4 6 2 2 2 6 3" xfId="11068" xr:uid="{B655444D-8D9D-42BC-A974-5AAB50543196}"/>
    <cellStyle name="Normal 4 6 2 2 2 7" xfId="4771" xr:uid="{00000000-0005-0000-0000-000018160000}"/>
    <cellStyle name="Normal 4 6 2 2 2 7 2" xfId="13221" xr:uid="{56DCF63B-23B7-423A-9F29-7617EA02E748}"/>
    <cellStyle name="Normal 4 6 2 2 2 8" xfId="9003" xr:uid="{1CE5726B-48ED-404C-8E11-F8DEEB6B9A80}"/>
    <cellStyle name="Normal 4 6 2 2 3" xfId="871" xr:uid="{00000000-0005-0000-0000-000019160000}"/>
    <cellStyle name="Normal 4 6 2 2 3 2" xfId="3106" xr:uid="{00000000-0005-0000-0000-00001A160000}"/>
    <cellStyle name="Normal 4 6 2 2 3 2 2" xfId="7328" xr:uid="{00000000-0005-0000-0000-00001B160000}"/>
    <cellStyle name="Normal 4 6 2 2 3 2 2 2" xfId="15778" xr:uid="{1B4C8F0F-D51C-465B-A518-16A2A53CF88D}"/>
    <cellStyle name="Normal 4 6 2 2 3 2 3" xfId="11560" xr:uid="{04A9B9E3-16B0-49D2-A591-AAA8AABDB618}"/>
    <cellStyle name="Normal 4 6 2 2 3 3" xfId="5183" xr:uid="{00000000-0005-0000-0000-00001C160000}"/>
    <cellStyle name="Normal 4 6 2 2 3 3 2" xfId="13633" xr:uid="{019BD917-C13C-464B-BBF8-1978B3D77067}"/>
    <cellStyle name="Normal 4 6 2 2 3 4" xfId="9415" xr:uid="{A7FB4B81-06E6-4966-9BC4-AB458A1E956B}"/>
    <cellStyle name="Normal 4 6 2 2 4" xfId="1289" xr:uid="{00000000-0005-0000-0000-00001D160000}"/>
    <cellStyle name="Normal 4 6 2 2 4 2" xfId="3519" xr:uid="{00000000-0005-0000-0000-00001E160000}"/>
    <cellStyle name="Normal 4 6 2 2 4 2 2" xfId="7741" xr:uid="{00000000-0005-0000-0000-00001F160000}"/>
    <cellStyle name="Normal 4 6 2 2 4 2 2 2" xfId="16191" xr:uid="{2B5CBB64-A476-492A-8372-AE9B5EEC9F9C}"/>
    <cellStyle name="Normal 4 6 2 2 4 2 3" xfId="11973" xr:uid="{D630BCC4-1A73-4360-8061-4129047FC02C}"/>
    <cellStyle name="Normal 4 6 2 2 4 3" xfId="5596" xr:uid="{00000000-0005-0000-0000-000020160000}"/>
    <cellStyle name="Normal 4 6 2 2 4 3 2" xfId="14046" xr:uid="{473B8F48-0911-4987-B67A-79675EFEC0CB}"/>
    <cellStyle name="Normal 4 6 2 2 4 4" xfId="9828" xr:uid="{08DBFF10-AC5C-426F-B2D4-62525CBA2F1B}"/>
    <cellStyle name="Normal 4 6 2 2 5" xfId="1702" xr:uid="{00000000-0005-0000-0000-000021160000}"/>
    <cellStyle name="Normal 4 6 2 2 5 2" xfId="3932" xr:uid="{00000000-0005-0000-0000-000022160000}"/>
    <cellStyle name="Normal 4 6 2 2 5 2 2" xfId="8154" xr:uid="{00000000-0005-0000-0000-000023160000}"/>
    <cellStyle name="Normal 4 6 2 2 5 2 2 2" xfId="16604" xr:uid="{79E727D6-A18B-46F1-9E81-599DEC48E422}"/>
    <cellStyle name="Normal 4 6 2 2 5 2 3" xfId="12386" xr:uid="{7B2A467A-92C8-454E-A7DA-61A288A45D86}"/>
    <cellStyle name="Normal 4 6 2 2 5 3" xfId="6009" xr:uid="{00000000-0005-0000-0000-000024160000}"/>
    <cellStyle name="Normal 4 6 2 2 5 3 2" xfId="14459" xr:uid="{818EE92D-E0EB-4895-B662-05406DF58AC0}"/>
    <cellStyle name="Normal 4 6 2 2 5 4" xfId="10241" xr:uid="{D033C2C6-29A0-4933-9841-900B99F3D4A9}"/>
    <cellStyle name="Normal 4 6 2 2 6" xfId="2116" xr:uid="{00000000-0005-0000-0000-000025160000}"/>
    <cellStyle name="Normal 4 6 2 2 6 2" xfId="4345" xr:uid="{00000000-0005-0000-0000-000026160000}"/>
    <cellStyle name="Normal 4 6 2 2 6 2 2" xfId="8567" xr:uid="{00000000-0005-0000-0000-000027160000}"/>
    <cellStyle name="Normal 4 6 2 2 6 2 2 2" xfId="17017" xr:uid="{80685BBF-0076-402E-8554-03777F853A9F}"/>
    <cellStyle name="Normal 4 6 2 2 6 2 3" xfId="12799" xr:uid="{5E003EBE-0BEA-42DE-9A0A-3DD34DB5B09B}"/>
    <cellStyle name="Normal 4 6 2 2 6 3" xfId="6422" xr:uid="{00000000-0005-0000-0000-000028160000}"/>
    <cellStyle name="Normal 4 6 2 2 6 3 2" xfId="14872" xr:uid="{DDC34935-A7B1-4F90-A3A5-63B841A2750B}"/>
    <cellStyle name="Normal 4 6 2 2 6 4" xfId="10654" xr:uid="{891E8ACA-B527-4E8E-87A8-B6D0040C2CEC}"/>
    <cellStyle name="Normal 4 6 2 2 7" xfId="2552" xr:uid="{00000000-0005-0000-0000-000029160000}"/>
    <cellStyle name="Normal 4 6 2 2 7 2" xfId="6835" xr:uid="{00000000-0005-0000-0000-00002A160000}"/>
    <cellStyle name="Normal 4 6 2 2 7 2 2" xfId="15285" xr:uid="{EBEAF54B-E55A-47EE-B8C3-EE7424A0EC73}"/>
    <cellStyle name="Normal 4 6 2 2 7 3" xfId="11067" xr:uid="{92E75968-567A-496D-9457-C89216212E11}"/>
    <cellStyle name="Normal 4 6 2 2 8" xfId="4770" xr:uid="{00000000-0005-0000-0000-00002B160000}"/>
    <cellStyle name="Normal 4 6 2 2 8 2" xfId="13220" xr:uid="{2C463E32-AD38-4A82-AC9D-4B0B44BA1923}"/>
    <cellStyle name="Normal 4 6 2 2 9" xfId="9002" xr:uid="{D8B2C6F4-0913-44CE-A8F2-E8B21E51C9E5}"/>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2 2 2" xfId="15780" xr:uid="{89B28462-9D41-4EB1-AA25-FEDC338FAE77}"/>
    <cellStyle name="Normal 4 6 2 3 2 2 3" xfId="11562" xr:uid="{DC9E8C6A-07DE-4C6F-AFF0-90C48886CD2F}"/>
    <cellStyle name="Normal 4 6 2 3 2 3" xfId="5185" xr:uid="{00000000-0005-0000-0000-000030160000}"/>
    <cellStyle name="Normal 4 6 2 3 2 3 2" xfId="13635" xr:uid="{98E7C205-1196-4AD3-8D18-B6EB4ABD7B05}"/>
    <cellStyle name="Normal 4 6 2 3 2 4" xfId="9417" xr:uid="{FFF747DD-BFF9-4E39-8DA5-5BEE3F783759}"/>
    <cellStyle name="Normal 4 6 2 3 3" xfId="1291" xr:uid="{00000000-0005-0000-0000-000031160000}"/>
    <cellStyle name="Normal 4 6 2 3 3 2" xfId="3521" xr:uid="{00000000-0005-0000-0000-000032160000}"/>
    <cellStyle name="Normal 4 6 2 3 3 2 2" xfId="7743" xr:uid="{00000000-0005-0000-0000-000033160000}"/>
    <cellStyle name="Normal 4 6 2 3 3 2 2 2" xfId="16193" xr:uid="{4F39FD4F-8AC7-4312-8DF5-9BF115461F5C}"/>
    <cellStyle name="Normal 4 6 2 3 3 2 3" xfId="11975" xr:uid="{E60170AA-E85B-4BC1-9ED6-6A2DB7EA238A}"/>
    <cellStyle name="Normal 4 6 2 3 3 3" xfId="5598" xr:uid="{00000000-0005-0000-0000-000034160000}"/>
    <cellStyle name="Normal 4 6 2 3 3 3 2" xfId="14048" xr:uid="{9E3926D4-96BF-446D-A364-021E156A80FE}"/>
    <cellStyle name="Normal 4 6 2 3 3 4" xfId="9830" xr:uid="{0E494341-014B-4117-9DD6-EF52D12C79AD}"/>
    <cellStyle name="Normal 4 6 2 3 4" xfId="1704" xr:uid="{00000000-0005-0000-0000-000035160000}"/>
    <cellStyle name="Normal 4 6 2 3 4 2" xfId="3934" xr:uid="{00000000-0005-0000-0000-000036160000}"/>
    <cellStyle name="Normal 4 6 2 3 4 2 2" xfId="8156" xr:uid="{00000000-0005-0000-0000-000037160000}"/>
    <cellStyle name="Normal 4 6 2 3 4 2 2 2" xfId="16606" xr:uid="{9664E955-4758-4030-90A8-E19A2E242945}"/>
    <cellStyle name="Normal 4 6 2 3 4 2 3" xfId="12388" xr:uid="{D7BD4911-4FE8-4CA4-9D9A-BB47BA1D74A1}"/>
    <cellStyle name="Normal 4 6 2 3 4 3" xfId="6011" xr:uid="{00000000-0005-0000-0000-000038160000}"/>
    <cellStyle name="Normal 4 6 2 3 4 3 2" xfId="14461" xr:uid="{71D7E7FE-E71C-4D96-A7D7-9EDA2747A468}"/>
    <cellStyle name="Normal 4 6 2 3 4 4" xfId="10243" xr:uid="{47C54C92-EA42-4955-A370-5FC3E837D8D5}"/>
    <cellStyle name="Normal 4 6 2 3 5" xfId="2118" xr:uid="{00000000-0005-0000-0000-000039160000}"/>
    <cellStyle name="Normal 4 6 2 3 5 2" xfId="4347" xr:uid="{00000000-0005-0000-0000-00003A160000}"/>
    <cellStyle name="Normal 4 6 2 3 5 2 2" xfId="8569" xr:uid="{00000000-0005-0000-0000-00003B160000}"/>
    <cellStyle name="Normal 4 6 2 3 5 2 2 2" xfId="17019" xr:uid="{7F2EBAB7-E402-4D8E-B198-DE1D759A0622}"/>
    <cellStyle name="Normal 4 6 2 3 5 2 3" xfId="12801" xr:uid="{873A0D6E-CDF8-4324-8C43-E028D63C141C}"/>
    <cellStyle name="Normal 4 6 2 3 5 3" xfId="6424" xr:uid="{00000000-0005-0000-0000-00003C160000}"/>
    <cellStyle name="Normal 4 6 2 3 5 3 2" xfId="14874" xr:uid="{172E9C18-B9FB-491C-AC1A-62896251EDE7}"/>
    <cellStyle name="Normal 4 6 2 3 5 4" xfId="10656" xr:uid="{440FB760-42DC-48BD-8478-AFA70762DC77}"/>
    <cellStyle name="Normal 4 6 2 3 6" xfId="2554" xr:uid="{00000000-0005-0000-0000-00003D160000}"/>
    <cellStyle name="Normal 4 6 2 3 6 2" xfId="6837" xr:uid="{00000000-0005-0000-0000-00003E160000}"/>
    <cellStyle name="Normal 4 6 2 3 6 2 2" xfId="15287" xr:uid="{E194473E-2D8E-42C7-A9E8-B29FA76291B5}"/>
    <cellStyle name="Normal 4 6 2 3 6 3" xfId="11069" xr:uid="{F5227CBE-4CDA-4AC2-AE01-5473152E6762}"/>
    <cellStyle name="Normal 4 6 2 3 7" xfId="4772" xr:uid="{00000000-0005-0000-0000-00003F160000}"/>
    <cellStyle name="Normal 4 6 2 3 7 2" xfId="13222" xr:uid="{2192437D-DB16-4A4F-B0EC-9ED3829A4717}"/>
    <cellStyle name="Normal 4 6 2 3 8" xfId="9004" xr:uid="{2C464208-8143-42D4-8132-7C0DB70D4162}"/>
    <cellStyle name="Normal 4 6 2 4" xfId="870" xr:uid="{00000000-0005-0000-0000-000040160000}"/>
    <cellStyle name="Normal 4 6 2 4 2" xfId="3105" xr:uid="{00000000-0005-0000-0000-000041160000}"/>
    <cellStyle name="Normal 4 6 2 4 2 2" xfId="7327" xr:uid="{00000000-0005-0000-0000-000042160000}"/>
    <cellStyle name="Normal 4 6 2 4 2 2 2" xfId="15777" xr:uid="{D0979B90-2480-4A80-B035-F44181F29C07}"/>
    <cellStyle name="Normal 4 6 2 4 2 3" xfId="11559" xr:uid="{E3A87421-7F84-4E3B-8020-6462A6B9E1A5}"/>
    <cellStyle name="Normal 4 6 2 4 3" xfId="5182" xr:uid="{00000000-0005-0000-0000-000043160000}"/>
    <cellStyle name="Normal 4 6 2 4 3 2" xfId="13632" xr:uid="{C0177FDE-AB0A-4D05-B71E-56BF40D404C3}"/>
    <cellStyle name="Normal 4 6 2 4 4" xfId="9414" xr:uid="{4CC0AF8D-8BF4-4107-9107-D12F0CC409EF}"/>
    <cellStyle name="Normal 4 6 2 5" xfId="1288" xr:uid="{00000000-0005-0000-0000-000044160000}"/>
    <cellStyle name="Normal 4 6 2 5 2" xfId="3518" xr:uid="{00000000-0005-0000-0000-000045160000}"/>
    <cellStyle name="Normal 4 6 2 5 2 2" xfId="7740" xr:uid="{00000000-0005-0000-0000-000046160000}"/>
    <cellStyle name="Normal 4 6 2 5 2 2 2" xfId="16190" xr:uid="{36006738-BD7B-4316-8F98-8D1F7480A168}"/>
    <cellStyle name="Normal 4 6 2 5 2 3" xfId="11972" xr:uid="{7B3DD525-1720-4DDC-A7C5-17A8C459AE03}"/>
    <cellStyle name="Normal 4 6 2 5 3" xfId="5595" xr:uid="{00000000-0005-0000-0000-000047160000}"/>
    <cellStyle name="Normal 4 6 2 5 3 2" xfId="14045" xr:uid="{63987AF1-D70F-43F5-8B1D-F8DB955DEA90}"/>
    <cellStyle name="Normal 4 6 2 5 4" xfId="9827" xr:uid="{0AC14F4D-E8F5-44D2-A489-ED8D0C5B2AFF}"/>
    <cellStyle name="Normal 4 6 2 6" xfId="1701" xr:uid="{00000000-0005-0000-0000-000048160000}"/>
    <cellStyle name="Normal 4 6 2 6 2" xfId="3931" xr:uid="{00000000-0005-0000-0000-000049160000}"/>
    <cellStyle name="Normal 4 6 2 6 2 2" xfId="8153" xr:uid="{00000000-0005-0000-0000-00004A160000}"/>
    <cellStyle name="Normal 4 6 2 6 2 2 2" xfId="16603" xr:uid="{43E045E1-CAD9-435E-8C0D-E29F6301B940}"/>
    <cellStyle name="Normal 4 6 2 6 2 3" xfId="12385" xr:uid="{BF9993BB-E812-4876-B472-552215E70ED0}"/>
    <cellStyle name="Normal 4 6 2 6 3" xfId="6008" xr:uid="{00000000-0005-0000-0000-00004B160000}"/>
    <cellStyle name="Normal 4 6 2 6 3 2" xfId="14458" xr:uid="{69BCA13E-0C9B-47AD-8FD3-5284289D3090}"/>
    <cellStyle name="Normal 4 6 2 6 4" xfId="10240" xr:uid="{410B16F2-3425-440A-8B3A-DA68B2184055}"/>
    <cellStyle name="Normal 4 6 2 7" xfId="2115" xr:uid="{00000000-0005-0000-0000-00004C160000}"/>
    <cellStyle name="Normal 4 6 2 7 2" xfId="4344" xr:uid="{00000000-0005-0000-0000-00004D160000}"/>
    <cellStyle name="Normal 4 6 2 7 2 2" xfId="8566" xr:uid="{00000000-0005-0000-0000-00004E160000}"/>
    <cellStyle name="Normal 4 6 2 7 2 2 2" xfId="17016" xr:uid="{6A96C195-E58F-4AD8-BA0E-DDC7FEFD1549}"/>
    <cellStyle name="Normal 4 6 2 7 2 3" xfId="12798" xr:uid="{BF53EA70-FE46-44A8-AA91-A35F5DD6A739}"/>
    <cellStyle name="Normal 4 6 2 7 3" xfId="6421" xr:uid="{00000000-0005-0000-0000-00004F160000}"/>
    <cellStyle name="Normal 4 6 2 7 3 2" xfId="14871" xr:uid="{1CCB3EC8-A2B7-4483-BE4E-5E4A8C7AFE4A}"/>
    <cellStyle name="Normal 4 6 2 7 4" xfId="10653" xr:uid="{AEBF12B9-3E00-4B9F-8309-501BE70FC5BA}"/>
    <cellStyle name="Normal 4 6 2 8" xfId="2551" xr:uid="{00000000-0005-0000-0000-000050160000}"/>
    <cellStyle name="Normal 4 6 2 8 2" xfId="6834" xr:uid="{00000000-0005-0000-0000-000051160000}"/>
    <cellStyle name="Normal 4 6 2 8 2 2" xfId="15284" xr:uid="{48D7FE7B-5117-4BD1-AF83-D4251AC70A92}"/>
    <cellStyle name="Normal 4 6 2 8 3" xfId="11066" xr:uid="{230C650C-2893-4453-98FC-84771E398604}"/>
    <cellStyle name="Normal 4 6 2 9" xfId="4769" xr:uid="{00000000-0005-0000-0000-000052160000}"/>
    <cellStyle name="Normal 4 6 2 9 2" xfId="13219" xr:uid="{6A131200-C9B5-464F-AC00-17FAB18FC191}"/>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2 2 2" xfId="15782" xr:uid="{E140AC97-87A9-4F7A-B174-378D40A449CB}"/>
    <cellStyle name="Normal 4 6 3 2 2 2 3" xfId="11564" xr:uid="{27A9EDE0-730E-4F06-BCFC-97490606FB35}"/>
    <cellStyle name="Normal 4 6 3 2 2 3" xfId="5187" xr:uid="{00000000-0005-0000-0000-000058160000}"/>
    <cellStyle name="Normal 4 6 3 2 2 3 2" xfId="13637" xr:uid="{5838B1AF-B2FA-49AD-A56E-3E86F389ED37}"/>
    <cellStyle name="Normal 4 6 3 2 2 4" xfId="9419" xr:uid="{DD250A73-B530-4D7C-9953-A4717C7ED3C3}"/>
    <cellStyle name="Normal 4 6 3 2 3" xfId="1293" xr:uid="{00000000-0005-0000-0000-000059160000}"/>
    <cellStyle name="Normal 4 6 3 2 3 2" xfId="3523" xr:uid="{00000000-0005-0000-0000-00005A160000}"/>
    <cellStyle name="Normal 4 6 3 2 3 2 2" xfId="7745" xr:uid="{00000000-0005-0000-0000-00005B160000}"/>
    <cellStyle name="Normal 4 6 3 2 3 2 2 2" xfId="16195" xr:uid="{383A5DB2-255C-4AB7-B51C-707E046AE896}"/>
    <cellStyle name="Normal 4 6 3 2 3 2 3" xfId="11977" xr:uid="{2C239F77-8D51-4C60-BCCF-FAE9C98F8386}"/>
    <cellStyle name="Normal 4 6 3 2 3 3" xfId="5600" xr:uid="{00000000-0005-0000-0000-00005C160000}"/>
    <cellStyle name="Normal 4 6 3 2 3 3 2" xfId="14050" xr:uid="{FCFC0534-FBDB-4820-B051-2B6B4153D515}"/>
    <cellStyle name="Normal 4 6 3 2 3 4" xfId="9832" xr:uid="{6BDD379A-8027-4BA3-942F-A420FA7ACF88}"/>
    <cellStyle name="Normal 4 6 3 2 4" xfId="1706" xr:uid="{00000000-0005-0000-0000-00005D160000}"/>
    <cellStyle name="Normal 4 6 3 2 4 2" xfId="3936" xr:uid="{00000000-0005-0000-0000-00005E160000}"/>
    <cellStyle name="Normal 4 6 3 2 4 2 2" xfId="8158" xr:uid="{00000000-0005-0000-0000-00005F160000}"/>
    <cellStyle name="Normal 4 6 3 2 4 2 2 2" xfId="16608" xr:uid="{613F4E89-F0A2-46FE-90B2-26DBFDA37A45}"/>
    <cellStyle name="Normal 4 6 3 2 4 2 3" xfId="12390" xr:uid="{7A7866A3-527A-49CB-9D16-02D573EA5771}"/>
    <cellStyle name="Normal 4 6 3 2 4 3" xfId="6013" xr:uid="{00000000-0005-0000-0000-000060160000}"/>
    <cellStyle name="Normal 4 6 3 2 4 3 2" xfId="14463" xr:uid="{5390AC2D-045B-464A-977B-C04252049D27}"/>
    <cellStyle name="Normal 4 6 3 2 4 4" xfId="10245" xr:uid="{234F13EC-994D-4146-9452-FE7AF2ADEBE0}"/>
    <cellStyle name="Normal 4 6 3 2 5" xfId="2120" xr:uid="{00000000-0005-0000-0000-000061160000}"/>
    <cellStyle name="Normal 4 6 3 2 5 2" xfId="4349" xr:uid="{00000000-0005-0000-0000-000062160000}"/>
    <cellStyle name="Normal 4 6 3 2 5 2 2" xfId="8571" xr:uid="{00000000-0005-0000-0000-000063160000}"/>
    <cellStyle name="Normal 4 6 3 2 5 2 2 2" xfId="17021" xr:uid="{0C6C6E9A-7877-4E0F-8B09-F8F7130E620A}"/>
    <cellStyle name="Normal 4 6 3 2 5 2 3" xfId="12803" xr:uid="{ACF756C4-CFCC-4074-A21A-E9D228C83874}"/>
    <cellStyle name="Normal 4 6 3 2 5 3" xfId="6426" xr:uid="{00000000-0005-0000-0000-000064160000}"/>
    <cellStyle name="Normal 4 6 3 2 5 3 2" xfId="14876" xr:uid="{2D656D10-4DB6-4F5E-B900-260050B14BD3}"/>
    <cellStyle name="Normal 4 6 3 2 5 4" xfId="10658" xr:uid="{60D59CDC-C22D-4ABF-8221-5AD21A3B3B68}"/>
    <cellStyle name="Normal 4 6 3 2 6" xfId="2556" xr:uid="{00000000-0005-0000-0000-000065160000}"/>
    <cellStyle name="Normal 4 6 3 2 6 2" xfId="6839" xr:uid="{00000000-0005-0000-0000-000066160000}"/>
    <cellStyle name="Normal 4 6 3 2 6 2 2" xfId="15289" xr:uid="{CFB8130F-928A-42F9-B1BF-C2CE2ABF0BC6}"/>
    <cellStyle name="Normal 4 6 3 2 6 3" xfId="11071" xr:uid="{B6E9263D-D953-4419-8B73-E7BE65F72D9A}"/>
    <cellStyle name="Normal 4 6 3 2 7" xfId="4774" xr:uid="{00000000-0005-0000-0000-000067160000}"/>
    <cellStyle name="Normal 4 6 3 2 7 2" xfId="13224" xr:uid="{442F0FBC-8E5E-42D8-952A-15322B15C66A}"/>
    <cellStyle name="Normal 4 6 3 2 8" xfId="9006" xr:uid="{9F5940AA-D3B8-4523-B498-2293DFF58B4E}"/>
    <cellStyle name="Normal 4 6 3 3" xfId="874" xr:uid="{00000000-0005-0000-0000-000068160000}"/>
    <cellStyle name="Normal 4 6 3 3 2" xfId="3109" xr:uid="{00000000-0005-0000-0000-000069160000}"/>
    <cellStyle name="Normal 4 6 3 3 2 2" xfId="7331" xr:uid="{00000000-0005-0000-0000-00006A160000}"/>
    <cellStyle name="Normal 4 6 3 3 2 2 2" xfId="15781" xr:uid="{E529A5F0-938F-4A9D-9763-F6DBBA0CA89E}"/>
    <cellStyle name="Normal 4 6 3 3 2 3" xfId="11563" xr:uid="{87C7826B-1159-4F00-814A-BF0CA88812D6}"/>
    <cellStyle name="Normal 4 6 3 3 3" xfId="5186" xr:uid="{00000000-0005-0000-0000-00006B160000}"/>
    <cellStyle name="Normal 4 6 3 3 3 2" xfId="13636" xr:uid="{60C85D33-C9EF-4D67-A445-2DFB3042CA74}"/>
    <cellStyle name="Normal 4 6 3 3 4" xfId="9418" xr:uid="{46EA5ADE-6FF9-4F74-A4ED-DE04A17D384D}"/>
    <cellStyle name="Normal 4 6 3 4" xfId="1292" xr:uid="{00000000-0005-0000-0000-00006C160000}"/>
    <cellStyle name="Normal 4 6 3 4 2" xfId="3522" xr:uid="{00000000-0005-0000-0000-00006D160000}"/>
    <cellStyle name="Normal 4 6 3 4 2 2" xfId="7744" xr:uid="{00000000-0005-0000-0000-00006E160000}"/>
    <cellStyle name="Normal 4 6 3 4 2 2 2" xfId="16194" xr:uid="{6056C5E4-DA7F-4F48-81F7-42E0834CA17F}"/>
    <cellStyle name="Normal 4 6 3 4 2 3" xfId="11976" xr:uid="{A3FB47F8-EC26-4E3C-A0DF-20F876CFD705}"/>
    <cellStyle name="Normal 4 6 3 4 3" xfId="5599" xr:uid="{00000000-0005-0000-0000-00006F160000}"/>
    <cellStyle name="Normal 4 6 3 4 3 2" xfId="14049" xr:uid="{5240ED98-8D9B-4D04-8E63-71A1305D2AF9}"/>
    <cellStyle name="Normal 4 6 3 4 4" xfId="9831" xr:uid="{1F949EF7-36F1-40D0-9892-839FDBBA0692}"/>
    <cellStyle name="Normal 4 6 3 5" xfId="1705" xr:uid="{00000000-0005-0000-0000-000070160000}"/>
    <cellStyle name="Normal 4 6 3 5 2" xfId="3935" xr:uid="{00000000-0005-0000-0000-000071160000}"/>
    <cellStyle name="Normal 4 6 3 5 2 2" xfId="8157" xr:uid="{00000000-0005-0000-0000-000072160000}"/>
    <cellStyle name="Normal 4 6 3 5 2 2 2" xfId="16607" xr:uid="{34459889-491B-4750-9726-8D990E2FFC79}"/>
    <cellStyle name="Normal 4 6 3 5 2 3" xfId="12389" xr:uid="{BFF9320B-F256-4B19-BE96-BA05D32E9043}"/>
    <cellStyle name="Normal 4 6 3 5 3" xfId="6012" xr:uid="{00000000-0005-0000-0000-000073160000}"/>
    <cellStyle name="Normal 4 6 3 5 3 2" xfId="14462" xr:uid="{D218A81D-E672-4DD9-B851-3D97300E4DCE}"/>
    <cellStyle name="Normal 4 6 3 5 4" xfId="10244" xr:uid="{76A14BD1-89D3-4481-BEB3-C4D1107CF82E}"/>
    <cellStyle name="Normal 4 6 3 6" xfId="2119" xr:uid="{00000000-0005-0000-0000-000074160000}"/>
    <cellStyle name="Normal 4 6 3 6 2" xfId="4348" xr:uid="{00000000-0005-0000-0000-000075160000}"/>
    <cellStyle name="Normal 4 6 3 6 2 2" xfId="8570" xr:uid="{00000000-0005-0000-0000-000076160000}"/>
    <cellStyle name="Normal 4 6 3 6 2 2 2" xfId="17020" xr:uid="{2AB67A6D-9522-4834-BFEA-3E9A3DE2CCBD}"/>
    <cellStyle name="Normal 4 6 3 6 2 3" xfId="12802" xr:uid="{ABAEAA2E-A6A4-41FD-B423-0658C6B631C0}"/>
    <cellStyle name="Normal 4 6 3 6 3" xfId="6425" xr:uid="{00000000-0005-0000-0000-000077160000}"/>
    <cellStyle name="Normal 4 6 3 6 3 2" xfId="14875" xr:uid="{6C0D8677-5228-4CA0-8A0E-EC15EB8D655D}"/>
    <cellStyle name="Normal 4 6 3 6 4" xfId="10657" xr:uid="{98C1EF1D-5EC4-49FE-A9AE-FC6F992CDBC1}"/>
    <cellStyle name="Normal 4 6 3 7" xfId="2555" xr:uid="{00000000-0005-0000-0000-000078160000}"/>
    <cellStyle name="Normal 4 6 3 7 2" xfId="6838" xr:uid="{00000000-0005-0000-0000-000079160000}"/>
    <cellStyle name="Normal 4 6 3 7 2 2" xfId="15288" xr:uid="{61C29DC3-6D14-4EFF-83A2-7DF874765165}"/>
    <cellStyle name="Normal 4 6 3 7 3" xfId="11070" xr:uid="{9E34E2AF-6B25-481A-B347-37F75E841C55}"/>
    <cellStyle name="Normal 4 6 3 8" xfId="4773" xr:uid="{00000000-0005-0000-0000-00007A160000}"/>
    <cellStyle name="Normal 4 6 3 8 2" xfId="13223" xr:uid="{4123A9E3-8396-4C8D-8DA0-14C8C7EF9573}"/>
    <cellStyle name="Normal 4 6 3 9" xfId="9005" xr:uid="{941A2EA8-13BA-4F5F-8B72-A28F9E086E95}"/>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2 2 2" xfId="15783" xr:uid="{E3750E1D-9F49-43DA-9504-27AF55E6B756}"/>
    <cellStyle name="Normal 4 6 4 2 2 3" xfId="11565" xr:uid="{6B5D59A5-30CF-4206-9AC0-D4A5A4225D80}"/>
    <cellStyle name="Normal 4 6 4 2 3" xfId="5188" xr:uid="{00000000-0005-0000-0000-00007F160000}"/>
    <cellStyle name="Normal 4 6 4 2 3 2" xfId="13638" xr:uid="{210AFE7F-EC8B-45CF-A937-BC57533A7E06}"/>
    <cellStyle name="Normal 4 6 4 2 4" xfId="9420" xr:uid="{797A8E04-AA87-43C1-9AF8-92805A9DD912}"/>
    <cellStyle name="Normal 4 6 4 3" xfId="1294" xr:uid="{00000000-0005-0000-0000-000080160000}"/>
    <cellStyle name="Normal 4 6 4 3 2" xfId="3524" xr:uid="{00000000-0005-0000-0000-000081160000}"/>
    <cellStyle name="Normal 4 6 4 3 2 2" xfId="7746" xr:uid="{00000000-0005-0000-0000-000082160000}"/>
    <cellStyle name="Normal 4 6 4 3 2 2 2" xfId="16196" xr:uid="{278A6967-5903-4D79-B55E-D07E275BE51E}"/>
    <cellStyle name="Normal 4 6 4 3 2 3" xfId="11978" xr:uid="{FC6E1AD7-540D-4825-96D5-4C3F571B18F4}"/>
    <cellStyle name="Normal 4 6 4 3 3" xfId="5601" xr:uid="{00000000-0005-0000-0000-000083160000}"/>
    <cellStyle name="Normal 4 6 4 3 3 2" xfId="14051" xr:uid="{488C9845-FCE8-49C9-BBE5-10CB7B5511AB}"/>
    <cellStyle name="Normal 4 6 4 3 4" xfId="9833" xr:uid="{0860FA96-F114-46F4-B577-9C8FC30C23C8}"/>
    <cellStyle name="Normal 4 6 4 4" xfId="1707" xr:uid="{00000000-0005-0000-0000-000084160000}"/>
    <cellStyle name="Normal 4 6 4 4 2" xfId="3937" xr:uid="{00000000-0005-0000-0000-000085160000}"/>
    <cellStyle name="Normal 4 6 4 4 2 2" xfId="8159" xr:uid="{00000000-0005-0000-0000-000086160000}"/>
    <cellStyle name="Normal 4 6 4 4 2 2 2" xfId="16609" xr:uid="{3AAC824E-FA95-44B7-86B6-D98019F93B3B}"/>
    <cellStyle name="Normal 4 6 4 4 2 3" xfId="12391" xr:uid="{C9A255A9-CD91-4830-AA35-7BE2A19490BD}"/>
    <cellStyle name="Normal 4 6 4 4 3" xfId="6014" xr:uid="{00000000-0005-0000-0000-000087160000}"/>
    <cellStyle name="Normal 4 6 4 4 3 2" xfId="14464" xr:uid="{F1D8131C-9EE6-4BB4-95D0-AED266168D7D}"/>
    <cellStyle name="Normal 4 6 4 4 4" xfId="10246" xr:uid="{F45FD8CE-8360-47BA-B4CC-D182C9FFA11D}"/>
    <cellStyle name="Normal 4 6 4 5" xfId="2121" xr:uid="{00000000-0005-0000-0000-000088160000}"/>
    <cellStyle name="Normal 4 6 4 5 2" xfId="4350" xr:uid="{00000000-0005-0000-0000-000089160000}"/>
    <cellStyle name="Normal 4 6 4 5 2 2" xfId="8572" xr:uid="{00000000-0005-0000-0000-00008A160000}"/>
    <cellStyle name="Normal 4 6 4 5 2 2 2" xfId="17022" xr:uid="{263E7B11-BDF5-4AC7-B46A-5875C45CFFC5}"/>
    <cellStyle name="Normal 4 6 4 5 2 3" xfId="12804" xr:uid="{A64BDAF4-7CED-4564-B2B0-FFC5E9E8CED5}"/>
    <cellStyle name="Normal 4 6 4 5 3" xfId="6427" xr:uid="{00000000-0005-0000-0000-00008B160000}"/>
    <cellStyle name="Normal 4 6 4 5 3 2" xfId="14877" xr:uid="{002C6ABF-1DDB-4C2D-9513-E8DBF384A58C}"/>
    <cellStyle name="Normal 4 6 4 5 4" xfId="10659" xr:uid="{AD11CC73-B739-4976-8D46-67343F4FAA2E}"/>
    <cellStyle name="Normal 4 6 4 6" xfId="2557" xr:uid="{00000000-0005-0000-0000-00008C160000}"/>
    <cellStyle name="Normal 4 6 4 6 2" xfId="6840" xr:uid="{00000000-0005-0000-0000-00008D160000}"/>
    <cellStyle name="Normal 4 6 4 6 2 2" xfId="15290" xr:uid="{E614769D-FF04-4763-B338-EAE89A8A36E9}"/>
    <cellStyle name="Normal 4 6 4 6 3" xfId="11072" xr:uid="{FBE56F3B-D7F6-4E3A-90E5-EC2A7F6FCD8E}"/>
    <cellStyle name="Normal 4 6 4 7" xfId="4775" xr:uid="{00000000-0005-0000-0000-00008E160000}"/>
    <cellStyle name="Normal 4 6 4 7 2" xfId="13225" xr:uid="{DBBFD22A-02F9-4BFC-8BA6-4628BCFE74E5}"/>
    <cellStyle name="Normal 4 6 4 8" xfId="9007" xr:uid="{A976D15C-CEA6-4570-A6F5-A2DB4FCE2CBF}"/>
    <cellStyle name="Normal 4 6 5" xfId="869" xr:uid="{00000000-0005-0000-0000-00008F160000}"/>
    <cellStyle name="Normal 4 6 5 2" xfId="3104" xr:uid="{00000000-0005-0000-0000-000090160000}"/>
    <cellStyle name="Normal 4 6 5 2 2" xfId="7326" xr:uid="{00000000-0005-0000-0000-000091160000}"/>
    <cellStyle name="Normal 4 6 5 2 2 2" xfId="15776" xr:uid="{F08E8BF7-AAA6-4C77-A8C9-5A3C5BC6C5B1}"/>
    <cellStyle name="Normal 4 6 5 2 3" xfId="11558" xr:uid="{49D6372D-35C1-4CA3-A958-D0E61315A091}"/>
    <cellStyle name="Normal 4 6 5 3" xfId="5181" xr:uid="{00000000-0005-0000-0000-000092160000}"/>
    <cellStyle name="Normal 4 6 5 3 2" xfId="13631" xr:uid="{1F6DD066-3474-48BF-BDBA-FB26F0DD438F}"/>
    <cellStyle name="Normal 4 6 5 4" xfId="9413" xr:uid="{41F6D220-B78D-4DD5-860B-6068422B0304}"/>
    <cellStyle name="Normal 4 6 6" xfId="1287" xr:uid="{00000000-0005-0000-0000-000093160000}"/>
    <cellStyle name="Normal 4 6 6 2" xfId="3517" xr:uid="{00000000-0005-0000-0000-000094160000}"/>
    <cellStyle name="Normal 4 6 6 2 2" xfId="7739" xr:uid="{00000000-0005-0000-0000-000095160000}"/>
    <cellStyle name="Normal 4 6 6 2 2 2" xfId="16189" xr:uid="{8972E427-D62F-4F2F-B853-7B45F41043E7}"/>
    <cellStyle name="Normal 4 6 6 2 3" xfId="11971" xr:uid="{0430A28F-59D9-4C61-9294-8AD311FD9382}"/>
    <cellStyle name="Normal 4 6 6 3" xfId="5594" xr:uid="{00000000-0005-0000-0000-000096160000}"/>
    <cellStyle name="Normal 4 6 6 3 2" xfId="14044" xr:uid="{38A4A81D-6623-4A27-9D42-36CBCD68CD97}"/>
    <cellStyle name="Normal 4 6 6 4" xfId="9826" xr:uid="{FC12FE70-A592-48CD-9597-52C207AB0EF9}"/>
    <cellStyle name="Normal 4 6 7" xfId="1700" xr:uid="{00000000-0005-0000-0000-000097160000}"/>
    <cellStyle name="Normal 4 6 7 2" xfId="3930" xr:uid="{00000000-0005-0000-0000-000098160000}"/>
    <cellStyle name="Normal 4 6 7 2 2" xfId="8152" xr:uid="{00000000-0005-0000-0000-000099160000}"/>
    <cellStyle name="Normal 4 6 7 2 2 2" xfId="16602" xr:uid="{070CE500-DE14-4B32-9646-52EDE12C6EBC}"/>
    <cellStyle name="Normal 4 6 7 2 3" xfId="12384" xr:uid="{F06C67A0-A858-4938-8AF7-4A84D69944E7}"/>
    <cellStyle name="Normal 4 6 7 3" xfId="6007" xr:uid="{00000000-0005-0000-0000-00009A160000}"/>
    <cellStyle name="Normal 4 6 7 3 2" xfId="14457" xr:uid="{75A94B37-85BA-47E9-91B2-BC93DB44B593}"/>
    <cellStyle name="Normal 4 6 7 4" xfId="10239" xr:uid="{D7DCF786-200B-42FA-A8C9-366DF19C1450}"/>
    <cellStyle name="Normal 4 6 8" xfId="2114" xr:uid="{00000000-0005-0000-0000-00009B160000}"/>
    <cellStyle name="Normal 4 6 8 2" xfId="4343" xr:uid="{00000000-0005-0000-0000-00009C160000}"/>
    <cellStyle name="Normal 4 6 8 2 2" xfId="8565" xr:uid="{00000000-0005-0000-0000-00009D160000}"/>
    <cellStyle name="Normal 4 6 8 2 2 2" xfId="17015" xr:uid="{292FBAC2-EF33-41FE-8432-33B192C7198A}"/>
    <cellStyle name="Normal 4 6 8 2 3" xfId="12797" xr:uid="{6756B807-0487-4420-9E93-450BBF1A9A56}"/>
    <cellStyle name="Normal 4 6 8 3" xfId="6420" xr:uid="{00000000-0005-0000-0000-00009E160000}"/>
    <cellStyle name="Normal 4 6 8 3 2" xfId="14870" xr:uid="{88A50213-6570-4C26-9FA1-7D3B36DFB234}"/>
    <cellStyle name="Normal 4 6 8 4" xfId="10652" xr:uid="{706E1876-19B0-4304-99D5-AFD7C5955102}"/>
    <cellStyle name="Normal 4 6 9" xfId="2550" xr:uid="{00000000-0005-0000-0000-00009F160000}"/>
    <cellStyle name="Normal 4 6 9 2" xfId="6833" xr:uid="{00000000-0005-0000-0000-0000A0160000}"/>
    <cellStyle name="Normal 4 6 9 2 2" xfId="15283" xr:uid="{421F7F71-522D-47D8-8F60-5FF56277EA1C}"/>
    <cellStyle name="Normal 4 6 9 3" xfId="11065" xr:uid="{DDD45A97-9EB5-4BAF-9D8F-CCE9C2BAEB9C}"/>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2 2 2" xfId="15785" xr:uid="{D1EF9561-342E-4749-8906-9E82340B1DE0}"/>
    <cellStyle name="Normal 4 7 2 2 2 3" xfId="11567" xr:uid="{2A92CD3F-5E2F-4A21-9921-FA8C515672FD}"/>
    <cellStyle name="Normal 4 7 2 2 3" xfId="5190" xr:uid="{00000000-0005-0000-0000-0000A6160000}"/>
    <cellStyle name="Normal 4 7 2 2 3 2" xfId="13640" xr:uid="{FB790925-B0AC-43D0-8FBA-0C5A6347DB3B}"/>
    <cellStyle name="Normal 4 7 2 2 4" xfId="9422" xr:uid="{53386AA1-C3C7-48DF-9EFB-F4534F92AF89}"/>
    <cellStyle name="Normal 4 7 2 3" xfId="1296" xr:uid="{00000000-0005-0000-0000-0000A7160000}"/>
    <cellStyle name="Normal 4 7 2 3 2" xfId="3526" xr:uid="{00000000-0005-0000-0000-0000A8160000}"/>
    <cellStyle name="Normal 4 7 2 3 2 2" xfId="7748" xr:uid="{00000000-0005-0000-0000-0000A9160000}"/>
    <cellStyle name="Normal 4 7 2 3 2 2 2" xfId="16198" xr:uid="{C9C84DB2-A8F4-4D6B-950B-892408DE0864}"/>
    <cellStyle name="Normal 4 7 2 3 2 3" xfId="11980" xr:uid="{291C7035-DC13-4ADA-9623-F727A3D85222}"/>
    <cellStyle name="Normal 4 7 2 3 3" xfId="5603" xr:uid="{00000000-0005-0000-0000-0000AA160000}"/>
    <cellStyle name="Normal 4 7 2 3 3 2" xfId="14053" xr:uid="{B851DD0A-A93E-4ACB-9618-8D6EB688F0AE}"/>
    <cellStyle name="Normal 4 7 2 3 4" xfId="9835" xr:uid="{3A2D7F66-B307-4D9C-A247-09C5325CF37B}"/>
    <cellStyle name="Normal 4 7 2 4" xfId="1709" xr:uid="{00000000-0005-0000-0000-0000AB160000}"/>
    <cellStyle name="Normal 4 7 2 4 2" xfId="3939" xr:uid="{00000000-0005-0000-0000-0000AC160000}"/>
    <cellStyle name="Normal 4 7 2 4 2 2" xfId="8161" xr:uid="{00000000-0005-0000-0000-0000AD160000}"/>
    <cellStyle name="Normal 4 7 2 4 2 2 2" xfId="16611" xr:uid="{59661ECB-2965-4B21-90D3-DB6DF029F0DA}"/>
    <cellStyle name="Normal 4 7 2 4 2 3" xfId="12393" xr:uid="{C8BA5781-5EDF-492F-BE75-07ED322183A9}"/>
    <cellStyle name="Normal 4 7 2 4 3" xfId="6016" xr:uid="{00000000-0005-0000-0000-0000AE160000}"/>
    <cellStyle name="Normal 4 7 2 4 3 2" xfId="14466" xr:uid="{016AAC38-7F84-4858-9FE9-6B0478BD9F40}"/>
    <cellStyle name="Normal 4 7 2 4 4" xfId="10248" xr:uid="{9C6EBAD9-A0C5-4120-A191-C92BA553E5E7}"/>
    <cellStyle name="Normal 4 7 2 5" xfId="2123" xr:uid="{00000000-0005-0000-0000-0000AF160000}"/>
    <cellStyle name="Normal 4 7 2 5 2" xfId="4352" xr:uid="{00000000-0005-0000-0000-0000B0160000}"/>
    <cellStyle name="Normal 4 7 2 5 2 2" xfId="8574" xr:uid="{00000000-0005-0000-0000-0000B1160000}"/>
    <cellStyle name="Normal 4 7 2 5 2 2 2" xfId="17024" xr:uid="{B7B3F1BA-5338-4C21-B724-6C0749BC9212}"/>
    <cellStyle name="Normal 4 7 2 5 2 3" xfId="12806" xr:uid="{45300739-B199-401C-8950-0A65F8BBD9A8}"/>
    <cellStyle name="Normal 4 7 2 5 3" xfId="6429" xr:uid="{00000000-0005-0000-0000-0000B2160000}"/>
    <cellStyle name="Normal 4 7 2 5 3 2" xfId="14879" xr:uid="{61FEA6F6-34A3-44F8-8704-4E6183512F9C}"/>
    <cellStyle name="Normal 4 7 2 5 4" xfId="10661" xr:uid="{F5B31061-5834-4B89-AFF1-8D9C03F326FC}"/>
    <cellStyle name="Normal 4 7 2 6" xfId="2559" xr:uid="{00000000-0005-0000-0000-0000B3160000}"/>
    <cellStyle name="Normal 4 7 2 6 2" xfId="6842" xr:uid="{00000000-0005-0000-0000-0000B4160000}"/>
    <cellStyle name="Normal 4 7 2 6 2 2" xfId="15292" xr:uid="{CFD8672F-BEA9-4DAE-BBE0-E8F5ED0B9265}"/>
    <cellStyle name="Normal 4 7 2 6 3" xfId="11074" xr:uid="{044281C1-B926-43E0-ADCF-1BCA1ED74A7E}"/>
    <cellStyle name="Normal 4 7 2 7" xfId="4777" xr:uid="{00000000-0005-0000-0000-0000B5160000}"/>
    <cellStyle name="Normal 4 7 2 7 2" xfId="13227" xr:uid="{E32F1B65-4800-42BB-9545-7D18CA03B9F3}"/>
    <cellStyle name="Normal 4 7 2 8" xfId="9009" xr:uid="{52C8A0EB-9B78-4C5F-B00D-C5EAB5954491}"/>
    <cellStyle name="Normal 4 7 3" xfId="877" xr:uid="{00000000-0005-0000-0000-0000B6160000}"/>
    <cellStyle name="Normal 4 7 3 2" xfId="3112" xr:uid="{00000000-0005-0000-0000-0000B7160000}"/>
    <cellStyle name="Normal 4 7 3 2 2" xfId="7334" xr:uid="{00000000-0005-0000-0000-0000B8160000}"/>
    <cellStyle name="Normal 4 7 3 2 2 2" xfId="15784" xr:uid="{CEC79702-D632-46A7-8529-90E3500744B3}"/>
    <cellStyle name="Normal 4 7 3 2 3" xfId="11566" xr:uid="{776FBA49-9105-4C03-B066-F3132DDE8060}"/>
    <cellStyle name="Normal 4 7 3 3" xfId="5189" xr:uid="{00000000-0005-0000-0000-0000B9160000}"/>
    <cellStyle name="Normal 4 7 3 3 2" xfId="13639" xr:uid="{ED3B8A8E-4BB5-46EB-8486-1C965B408A3C}"/>
    <cellStyle name="Normal 4 7 3 4" xfId="9421" xr:uid="{3E1CA5F8-8740-4EBD-B113-8BBF16F132FD}"/>
    <cellStyle name="Normal 4 7 4" xfId="1295" xr:uid="{00000000-0005-0000-0000-0000BA160000}"/>
    <cellStyle name="Normal 4 7 4 2" xfId="3525" xr:uid="{00000000-0005-0000-0000-0000BB160000}"/>
    <cellStyle name="Normal 4 7 4 2 2" xfId="7747" xr:uid="{00000000-0005-0000-0000-0000BC160000}"/>
    <cellStyle name="Normal 4 7 4 2 2 2" xfId="16197" xr:uid="{362C5840-137C-4C65-908B-8E4670D56BBB}"/>
    <cellStyle name="Normal 4 7 4 2 3" xfId="11979" xr:uid="{5CF810DA-8467-4F7B-9192-7F84F0BAC93F}"/>
    <cellStyle name="Normal 4 7 4 3" xfId="5602" xr:uid="{00000000-0005-0000-0000-0000BD160000}"/>
    <cellStyle name="Normal 4 7 4 3 2" xfId="14052" xr:uid="{82D3CABD-0908-45B3-B517-400552DDB091}"/>
    <cellStyle name="Normal 4 7 4 4" xfId="9834" xr:uid="{69BB4BE2-26A2-4001-8B67-0E1F8DB2668F}"/>
    <cellStyle name="Normal 4 7 5" xfId="1708" xr:uid="{00000000-0005-0000-0000-0000BE160000}"/>
    <cellStyle name="Normal 4 7 5 2" xfId="3938" xr:uid="{00000000-0005-0000-0000-0000BF160000}"/>
    <cellStyle name="Normal 4 7 5 2 2" xfId="8160" xr:uid="{00000000-0005-0000-0000-0000C0160000}"/>
    <cellStyle name="Normal 4 7 5 2 2 2" xfId="16610" xr:uid="{C19CD2F6-7690-469A-AE46-226AE631EDE4}"/>
    <cellStyle name="Normal 4 7 5 2 3" xfId="12392" xr:uid="{A39E64A7-8A46-49BF-94E1-FA6049483E66}"/>
    <cellStyle name="Normal 4 7 5 3" xfId="6015" xr:uid="{00000000-0005-0000-0000-0000C1160000}"/>
    <cellStyle name="Normal 4 7 5 3 2" xfId="14465" xr:uid="{6CDCAF87-0C75-49D0-895F-32E32401FCC5}"/>
    <cellStyle name="Normal 4 7 5 4" xfId="10247" xr:uid="{A87139B4-8250-45EB-BEC1-F01910F736F6}"/>
    <cellStyle name="Normal 4 7 6" xfId="2122" xr:uid="{00000000-0005-0000-0000-0000C2160000}"/>
    <cellStyle name="Normal 4 7 6 2" xfId="4351" xr:uid="{00000000-0005-0000-0000-0000C3160000}"/>
    <cellStyle name="Normal 4 7 6 2 2" xfId="8573" xr:uid="{00000000-0005-0000-0000-0000C4160000}"/>
    <cellStyle name="Normal 4 7 6 2 2 2" xfId="17023" xr:uid="{9DC3E9F4-059B-486E-AB84-319F708049B9}"/>
    <cellStyle name="Normal 4 7 6 2 3" xfId="12805" xr:uid="{E3C8F565-577E-4471-AEE8-F9A5A7906577}"/>
    <cellStyle name="Normal 4 7 6 3" xfId="6428" xr:uid="{00000000-0005-0000-0000-0000C5160000}"/>
    <cellStyle name="Normal 4 7 6 3 2" xfId="14878" xr:uid="{24519D88-9CBC-48FA-AB12-FC2C664B55F8}"/>
    <cellStyle name="Normal 4 7 6 4" xfId="10660" xr:uid="{496998E6-8E0B-40F7-96E1-1662216B2802}"/>
    <cellStyle name="Normal 4 7 7" xfId="2558" xr:uid="{00000000-0005-0000-0000-0000C6160000}"/>
    <cellStyle name="Normal 4 7 7 2" xfId="6841" xr:uid="{00000000-0005-0000-0000-0000C7160000}"/>
    <cellStyle name="Normal 4 7 7 2 2" xfId="15291" xr:uid="{CCD2BF55-3229-44EE-970C-33847162AEDF}"/>
    <cellStyle name="Normal 4 7 7 3" xfId="11073" xr:uid="{0CD545E8-A112-4C88-B311-1AC8ECEF1F86}"/>
    <cellStyle name="Normal 4 7 8" xfId="4776" xr:uid="{00000000-0005-0000-0000-0000C8160000}"/>
    <cellStyle name="Normal 4 7 8 2" xfId="13226" xr:uid="{7C7C7239-92F6-4CC7-BC7A-93642ECA2A96}"/>
    <cellStyle name="Normal 4 7 9" xfId="9008" xr:uid="{DBE71F56-511C-4C17-820E-DB890427CA99}"/>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2 2 2" xfId="15786" xr:uid="{9D87FD8C-FA25-4355-AE14-739AE3E28C46}"/>
    <cellStyle name="Normal 4 8 2 2 3" xfId="11568" xr:uid="{D0504BB8-9405-4902-BF9C-7CB5B57D2457}"/>
    <cellStyle name="Normal 4 8 2 3" xfId="5191" xr:uid="{00000000-0005-0000-0000-0000CD160000}"/>
    <cellStyle name="Normal 4 8 2 3 2" xfId="13641" xr:uid="{69F5A4BA-87A5-4080-88BD-6760D0F9BE15}"/>
    <cellStyle name="Normal 4 8 2 4" xfId="9423" xr:uid="{6848EBEE-9B02-4136-9A5B-DD0EB0E021ED}"/>
    <cellStyle name="Normal 4 8 3" xfId="1297" xr:uid="{00000000-0005-0000-0000-0000CE160000}"/>
    <cellStyle name="Normal 4 8 3 2" xfId="3527" xr:uid="{00000000-0005-0000-0000-0000CF160000}"/>
    <cellStyle name="Normal 4 8 3 2 2" xfId="7749" xr:uid="{00000000-0005-0000-0000-0000D0160000}"/>
    <cellStyle name="Normal 4 8 3 2 2 2" xfId="16199" xr:uid="{6D47C462-C803-40CF-9BAD-8999D96BCB17}"/>
    <cellStyle name="Normal 4 8 3 2 3" xfId="11981" xr:uid="{B8E7CFF6-8C1C-403D-9796-694615407EBF}"/>
    <cellStyle name="Normal 4 8 3 3" xfId="5604" xr:uid="{00000000-0005-0000-0000-0000D1160000}"/>
    <cellStyle name="Normal 4 8 3 3 2" xfId="14054" xr:uid="{CFF251D9-C419-4EB2-A316-E04813A00E3B}"/>
    <cellStyle name="Normal 4 8 3 4" xfId="9836" xr:uid="{0AA2D89C-6F91-4A96-9E28-E0E428F154EA}"/>
    <cellStyle name="Normal 4 8 4" xfId="1710" xr:uid="{00000000-0005-0000-0000-0000D2160000}"/>
    <cellStyle name="Normal 4 8 4 2" xfId="3940" xr:uid="{00000000-0005-0000-0000-0000D3160000}"/>
    <cellStyle name="Normal 4 8 4 2 2" xfId="8162" xr:uid="{00000000-0005-0000-0000-0000D4160000}"/>
    <cellStyle name="Normal 4 8 4 2 2 2" xfId="16612" xr:uid="{F09607A0-AADF-4A34-A92A-2CB7409C7E9A}"/>
    <cellStyle name="Normal 4 8 4 2 3" xfId="12394" xr:uid="{526A2547-E634-49BF-BE93-62F07DF89199}"/>
    <cellStyle name="Normal 4 8 4 3" xfId="6017" xr:uid="{00000000-0005-0000-0000-0000D5160000}"/>
    <cellStyle name="Normal 4 8 4 3 2" xfId="14467" xr:uid="{5586C1AC-A236-4ED3-8E9B-94C2CD60B35D}"/>
    <cellStyle name="Normal 4 8 4 4" xfId="10249" xr:uid="{0EFFF54E-EBA9-4379-8DDE-2E6223AFB4FC}"/>
    <cellStyle name="Normal 4 8 5" xfId="2124" xr:uid="{00000000-0005-0000-0000-0000D6160000}"/>
    <cellStyle name="Normal 4 8 5 2" xfId="4353" xr:uid="{00000000-0005-0000-0000-0000D7160000}"/>
    <cellStyle name="Normal 4 8 5 2 2" xfId="8575" xr:uid="{00000000-0005-0000-0000-0000D8160000}"/>
    <cellStyle name="Normal 4 8 5 2 2 2" xfId="17025" xr:uid="{12BDA306-3786-4AD6-B295-639489B3E5C3}"/>
    <cellStyle name="Normal 4 8 5 2 3" xfId="12807" xr:uid="{96E8DE8A-1F72-490B-BA06-8ADAC08DA94B}"/>
    <cellStyle name="Normal 4 8 5 3" xfId="6430" xr:uid="{00000000-0005-0000-0000-0000D9160000}"/>
    <cellStyle name="Normal 4 8 5 3 2" xfId="14880" xr:uid="{D06C8B33-470D-4767-9D0D-59BAB46B4D8A}"/>
    <cellStyle name="Normal 4 8 5 4" xfId="10662" xr:uid="{6A330DF9-4C6B-4668-BDBF-381D5B55B00E}"/>
    <cellStyle name="Normal 4 8 6" xfId="2560" xr:uid="{00000000-0005-0000-0000-0000DA160000}"/>
    <cellStyle name="Normal 4 8 6 2" xfId="6843" xr:uid="{00000000-0005-0000-0000-0000DB160000}"/>
    <cellStyle name="Normal 4 8 6 2 2" xfId="15293" xr:uid="{190C43AE-2CEE-4351-9EB5-B166ED6B3714}"/>
    <cellStyle name="Normal 4 8 6 3" xfId="11075" xr:uid="{5FBCF9AF-DF04-45AC-9B17-9F2F78C26092}"/>
    <cellStyle name="Normal 4 8 7" xfId="4778" xr:uid="{00000000-0005-0000-0000-0000DC160000}"/>
    <cellStyle name="Normal 4 8 7 2" xfId="13228" xr:uid="{3DBFDBD2-3ABF-43EE-89CA-C8F29C271053}"/>
    <cellStyle name="Normal 4 8 8" xfId="9010" xr:uid="{BA9040F0-41F8-4812-8B04-1F158239E06A}"/>
    <cellStyle name="Normal 4 9" xfId="4715" xr:uid="{00000000-0005-0000-0000-0000DD160000}"/>
    <cellStyle name="Normal 4 9 2" xfId="13165" xr:uid="{02E3640F-AA1C-4F68-A0CC-A1B53C577C3B}"/>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2 2 2" xfId="16613" xr:uid="{7DBC0B84-F60D-47EF-88C1-FD0EF4980439}"/>
    <cellStyle name="Normal 5 10 2 3" xfId="12395" xr:uid="{05BE3ED7-3DC3-4270-B1A5-038792CBD248}"/>
    <cellStyle name="Normal 5 10 3" xfId="6018" xr:uid="{00000000-0005-0000-0000-0000E2160000}"/>
    <cellStyle name="Normal 5 10 3 2" xfId="14468" xr:uid="{B1971142-14D7-44CD-9AFA-E2E47C4642E8}"/>
    <cellStyle name="Normal 5 10 4" xfId="10250" xr:uid="{865982E9-9ED3-47C3-9451-831D1FC93EB3}"/>
    <cellStyle name="Normal 5 11" xfId="2125" xr:uid="{00000000-0005-0000-0000-0000E3160000}"/>
    <cellStyle name="Normal 5 11 2" xfId="4354" xr:uid="{00000000-0005-0000-0000-0000E4160000}"/>
    <cellStyle name="Normal 5 11 2 2" xfId="8576" xr:uid="{00000000-0005-0000-0000-0000E5160000}"/>
    <cellStyle name="Normal 5 11 2 2 2" xfId="17026" xr:uid="{B94B8CA3-BB05-4136-9226-412C7518D637}"/>
    <cellStyle name="Normal 5 11 2 3" xfId="12808" xr:uid="{F20DB9B3-D6FA-49DD-AF09-4A43AC375F08}"/>
    <cellStyle name="Normal 5 11 3" xfId="6431" xr:uid="{00000000-0005-0000-0000-0000E6160000}"/>
    <cellStyle name="Normal 5 11 3 2" xfId="14881" xr:uid="{79BD2B28-5408-40AD-8668-2066C7D42419}"/>
    <cellStyle name="Normal 5 11 4" xfId="10663" xr:uid="{DEA19568-F2B8-4835-BBD6-EE20DDA52C71}"/>
    <cellStyle name="Normal 5 12" xfId="2561" xr:uid="{00000000-0005-0000-0000-0000E7160000}"/>
    <cellStyle name="Normal 5 12 2" xfId="6844" xr:uid="{00000000-0005-0000-0000-0000E8160000}"/>
    <cellStyle name="Normal 5 12 2 2" xfId="15294" xr:uid="{8A19E94E-9351-4A86-A43F-1A8572B716B0}"/>
    <cellStyle name="Normal 5 12 3" xfId="11076" xr:uid="{BEF1F7ED-9F3A-4FAE-A7F2-71BBCE825D61}"/>
    <cellStyle name="Normal 5 13" xfId="4779" xr:uid="{00000000-0005-0000-0000-0000E9160000}"/>
    <cellStyle name="Normal 5 13 2" xfId="13229" xr:uid="{4CDBF293-A930-433A-86AA-85B7388A4FE2}"/>
    <cellStyle name="Normal 5 14" xfId="9011" xr:uid="{2E42E227-2B5A-4578-BA3D-842D3DA89F57}"/>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2 2 2" xfId="17027" xr:uid="{12BE756A-93CC-420D-AD77-807FA6886F4B}"/>
    <cellStyle name="Normal 5 2 10 2 3" xfId="12809" xr:uid="{AE7E4363-1836-4FC5-85AB-83EC5CC1D33E}"/>
    <cellStyle name="Normal 5 2 10 3" xfId="6432" xr:uid="{00000000-0005-0000-0000-0000EE160000}"/>
    <cellStyle name="Normal 5 2 10 3 2" xfId="14882" xr:uid="{4E7D85CB-A325-49AB-BE15-FF5337493F53}"/>
    <cellStyle name="Normal 5 2 10 4" xfId="10664" xr:uid="{0E10805A-A7AA-407F-B9F2-A938E3A0BF17}"/>
    <cellStyle name="Normal 5 2 11" xfId="2562" xr:uid="{00000000-0005-0000-0000-0000EF160000}"/>
    <cellStyle name="Normal 5 2 11 2" xfId="6845" xr:uid="{00000000-0005-0000-0000-0000F0160000}"/>
    <cellStyle name="Normal 5 2 11 2 2" xfId="15295" xr:uid="{0A0B01D9-EE4D-4067-9C1F-A771F3BD6B48}"/>
    <cellStyle name="Normal 5 2 11 3" xfId="11077" xr:uid="{13487745-E484-44F6-B2EF-F2AC0B8B2273}"/>
    <cellStyle name="Normal 5 2 12" xfId="4780" xr:uid="{00000000-0005-0000-0000-0000F1160000}"/>
    <cellStyle name="Normal 5 2 12 2" xfId="13230" xr:uid="{CB0A1056-7403-4416-BB4D-B9C24D5145BC}"/>
    <cellStyle name="Normal 5 2 13" xfId="9012" xr:uid="{CBB8551C-19AD-4789-9F9B-CEF0ACFDD3FF}"/>
    <cellStyle name="Normal 5 2 2" xfId="408" xr:uid="{00000000-0005-0000-0000-0000F2160000}"/>
    <cellStyle name="Normal 5 2 2 10" xfId="2563" xr:uid="{00000000-0005-0000-0000-0000F3160000}"/>
    <cellStyle name="Normal 5 2 2 10 2" xfId="6846" xr:uid="{00000000-0005-0000-0000-0000F4160000}"/>
    <cellStyle name="Normal 5 2 2 10 2 2" xfId="15296" xr:uid="{4C53449F-589D-45B6-B074-65C7C8F1E778}"/>
    <cellStyle name="Normal 5 2 2 10 3" xfId="11078" xr:uid="{6B7001BF-7D46-43D4-96F9-F0DDDEA83E56}"/>
    <cellStyle name="Normal 5 2 2 11" xfId="4781" xr:uid="{00000000-0005-0000-0000-0000F5160000}"/>
    <cellStyle name="Normal 5 2 2 11 2" xfId="13231" xr:uid="{80A89597-B998-4E39-B200-859E7BB61A90}"/>
    <cellStyle name="Normal 5 2 2 12" xfId="9013" xr:uid="{A47BE0D1-1116-492B-8CEF-1CD701656DB3}"/>
    <cellStyle name="Normal 5 2 2 2" xfId="409" xr:uid="{00000000-0005-0000-0000-0000F6160000}"/>
    <cellStyle name="Normal 5 2 2 2 10" xfId="4782" xr:uid="{00000000-0005-0000-0000-0000F7160000}"/>
    <cellStyle name="Normal 5 2 2 2 10 2" xfId="13232" xr:uid="{FB389E3A-D2C1-4695-8330-ECA0F18A8C67}"/>
    <cellStyle name="Normal 5 2 2 2 11" xfId="9014" xr:uid="{8097701D-F711-4902-B67B-F3AA22B33316}"/>
    <cellStyle name="Normal 5 2 2 2 2" xfId="410" xr:uid="{00000000-0005-0000-0000-0000F8160000}"/>
    <cellStyle name="Normal 5 2 2 2 2 10" xfId="9015" xr:uid="{68784E41-1176-4D92-8C96-E0DDE504217E}"/>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2 2 2" xfId="15793" xr:uid="{0268DA7E-5BD8-40C6-AF5F-F2FCD3FBF6D4}"/>
    <cellStyle name="Normal 5 2 2 2 2 2 2 2 2 3" xfId="11575" xr:uid="{DFADAAC3-FAD8-41B5-BF04-9BC00F7322A9}"/>
    <cellStyle name="Normal 5 2 2 2 2 2 2 2 3" xfId="5198" xr:uid="{00000000-0005-0000-0000-0000FE160000}"/>
    <cellStyle name="Normal 5 2 2 2 2 2 2 2 3 2" xfId="13648" xr:uid="{C299AF09-D1B7-4198-BD5A-C1D0FECD7030}"/>
    <cellStyle name="Normal 5 2 2 2 2 2 2 2 4" xfId="9430" xr:uid="{33FCD3E8-82FB-4E73-AC32-B7CDB975058C}"/>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2 2 2" xfId="16206" xr:uid="{F5495281-41CC-4B61-AC58-D3DAB58EE343}"/>
    <cellStyle name="Normal 5 2 2 2 2 2 2 3 2 3" xfId="11988" xr:uid="{AE9C57FC-AEE9-4F91-A0EA-A2519CA3DD37}"/>
    <cellStyle name="Normal 5 2 2 2 2 2 2 3 3" xfId="5611" xr:uid="{00000000-0005-0000-0000-000002170000}"/>
    <cellStyle name="Normal 5 2 2 2 2 2 2 3 3 2" xfId="14061" xr:uid="{70F776BD-22DF-44D2-9856-92917AF1A8A2}"/>
    <cellStyle name="Normal 5 2 2 2 2 2 2 3 4" xfId="9843" xr:uid="{EE48A9A7-AD45-44D7-B4A6-5470C5AD7DBC}"/>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2 2 2" xfId="16619" xr:uid="{5522D227-3F72-40C5-8C88-5E69E7FFC05D}"/>
    <cellStyle name="Normal 5 2 2 2 2 2 2 4 2 3" xfId="12401" xr:uid="{69672D21-A4C7-42CB-9FEF-D30D1A70741C}"/>
    <cellStyle name="Normal 5 2 2 2 2 2 2 4 3" xfId="6024" xr:uid="{00000000-0005-0000-0000-000006170000}"/>
    <cellStyle name="Normal 5 2 2 2 2 2 2 4 3 2" xfId="14474" xr:uid="{892F5DEB-66F5-44D1-A04B-4F16F7143FB4}"/>
    <cellStyle name="Normal 5 2 2 2 2 2 2 4 4" xfId="10256" xr:uid="{24DD89DC-388E-459D-9949-C4B62779499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2 2 2" xfId="17032" xr:uid="{A69FF86A-FD7C-4240-BDDB-0E46F6ADEE1E}"/>
    <cellStyle name="Normal 5 2 2 2 2 2 2 5 2 3" xfId="12814" xr:uid="{A3CD100D-FCC7-4B02-AE96-71B02958AFC2}"/>
    <cellStyle name="Normal 5 2 2 2 2 2 2 5 3" xfId="6437" xr:uid="{00000000-0005-0000-0000-00000A170000}"/>
    <cellStyle name="Normal 5 2 2 2 2 2 2 5 3 2" xfId="14887" xr:uid="{9D6A32C3-04EF-4177-960D-15DB0FCE011D}"/>
    <cellStyle name="Normal 5 2 2 2 2 2 2 5 4" xfId="10669" xr:uid="{409E9B03-3554-4B75-A2BA-4815DC486048}"/>
    <cellStyle name="Normal 5 2 2 2 2 2 2 6" xfId="2567" xr:uid="{00000000-0005-0000-0000-00000B170000}"/>
    <cellStyle name="Normal 5 2 2 2 2 2 2 6 2" xfId="6850" xr:uid="{00000000-0005-0000-0000-00000C170000}"/>
    <cellStyle name="Normal 5 2 2 2 2 2 2 6 2 2" xfId="15300" xr:uid="{413DC666-8444-4D19-B192-D32763DC6A3C}"/>
    <cellStyle name="Normal 5 2 2 2 2 2 2 6 3" xfId="11082" xr:uid="{C3957D4B-B02D-4E81-B584-1B947A0E4659}"/>
    <cellStyle name="Normal 5 2 2 2 2 2 2 7" xfId="4785" xr:uid="{00000000-0005-0000-0000-00000D170000}"/>
    <cellStyle name="Normal 5 2 2 2 2 2 2 7 2" xfId="13235" xr:uid="{A7BE186B-B065-401C-BE21-93CACBA3327B}"/>
    <cellStyle name="Normal 5 2 2 2 2 2 2 8" xfId="9017" xr:uid="{21D46EAA-9B83-4E3E-8C8E-E38C551A2F82}"/>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2 2 2" xfId="15792" xr:uid="{86C4733F-AB6A-4941-9DAB-908FA44EFC1D}"/>
    <cellStyle name="Normal 5 2 2 2 2 2 3 2 3" xfId="11574" xr:uid="{A1339DE0-593D-4086-8890-B1DFB63FEBBE}"/>
    <cellStyle name="Normal 5 2 2 2 2 2 3 3" xfId="5197" xr:uid="{00000000-0005-0000-0000-000011170000}"/>
    <cellStyle name="Normal 5 2 2 2 2 2 3 3 2" xfId="13647" xr:uid="{FD1EB3CE-1C3C-4586-AE59-F6A9CC58854E}"/>
    <cellStyle name="Normal 5 2 2 2 2 2 3 4" xfId="9429" xr:uid="{F709C271-BFFE-4A41-BD78-C1800D7A90E1}"/>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2 2 2" xfId="16205" xr:uid="{7F96816B-D429-41AE-B7B5-A9833D2390B9}"/>
    <cellStyle name="Normal 5 2 2 2 2 2 4 2 3" xfId="11987" xr:uid="{D70447E5-219C-4045-BF90-05A283422B57}"/>
    <cellStyle name="Normal 5 2 2 2 2 2 4 3" xfId="5610" xr:uid="{00000000-0005-0000-0000-000015170000}"/>
    <cellStyle name="Normal 5 2 2 2 2 2 4 3 2" xfId="14060" xr:uid="{FFF7F607-1E14-49DD-945C-0A0F6BE76185}"/>
    <cellStyle name="Normal 5 2 2 2 2 2 4 4" xfId="9842" xr:uid="{614554B6-F360-414E-91DE-98AF929529FF}"/>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2 2 2" xfId="16618" xr:uid="{C6C4C8E4-1CB4-4548-9EEA-DB987D7B71DE}"/>
    <cellStyle name="Normal 5 2 2 2 2 2 5 2 3" xfId="12400" xr:uid="{AA88D6F8-EC3C-4A07-81CE-7A9DAFB4D56F}"/>
    <cellStyle name="Normal 5 2 2 2 2 2 5 3" xfId="6023" xr:uid="{00000000-0005-0000-0000-000019170000}"/>
    <cellStyle name="Normal 5 2 2 2 2 2 5 3 2" xfId="14473" xr:uid="{723E0B2A-4CE6-4953-A2CA-C7390E4449EC}"/>
    <cellStyle name="Normal 5 2 2 2 2 2 5 4" xfId="10255" xr:uid="{0DD63A39-DA5A-4E6D-8610-6E12BA5E3D9B}"/>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2 2 2" xfId="17031" xr:uid="{6FE2DC99-A34F-49F1-ADF2-22B4E6F61773}"/>
    <cellStyle name="Normal 5 2 2 2 2 2 6 2 3" xfId="12813" xr:uid="{8C89A092-9579-43DA-B2E3-4F0DA04D23CC}"/>
    <cellStyle name="Normal 5 2 2 2 2 2 6 3" xfId="6436" xr:uid="{00000000-0005-0000-0000-00001D170000}"/>
    <cellStyle name="Normal 5 2 2 2 2 2 6 3 2" xfId="14886" xr:uid="{465F5BE4-6B3A-45F2-83A5-254D406BA2E7}"/>
    <cellStyle name="Normal 5 2 2 2 2 2 6 4" xfId="10668" xr:uid="{6EEEEB14-3C71-4357-A644-03D1AF39E165}"/>
    <cellStyle name="Normal 5 2 2 2 2 2 7" xfId="2566" xr:uid="{00000000-0005-0000-0000-00001E170000}"/>
    <cellStyle name="Normal 5 2 2 2 2 2 7 2" xfId="6849" xr:uid="{00000000-0005-0000-0000-00001F170000}"/>
    <cellStyle name="Normal 5 2 2 2 2 2 7 2 2" xfId="15299" xr:uid="{1B5384BF-C1C0-4974-B3EA-E4E27B1940D4}"/>
    <cellStyle name="Normal 5 2 2 2 2 2 7 3" xfId="11081" xr:uid="{AD5E6D80-BF8A-4A12-B633-C1B4EC34B648}"/>
    <cellStyle name="Normal 5 2 2 2 2 2 8" xfId="4784" xr:uid="{00000000-0005-0000-0000-000020170000}"/>
    <cellStyle name="Normal 5 2 2 2 2 2 8 2" xfId="13234" xr:uid="{EAF8C406-87CC-43E5-8236-F9C689BA9DEE}"/>
    <cellStyle name="Normal 5 2 2 2 2 2 9" xfId="9016" xr:uid="{CB49B921-1BBB-4B55-B779-FA9020EBEF1D}"/>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2 2 2" xfId="15794" xr:uid="{E2642E50-0867-4FE4-B428-B33BC3D5AC33}"/>
    <cellStyle name="Normal 5 2 2 2 2 3 2 2 3" xfId="11576" xr:uid="{D4FF92A6-A661-4F2C-9094-C4963927382E}"/>
    <cellStyle name="Normal 5 2 2 2 2 3 2 3" xfId="5199" xr:uid="{00000000-0005-0000-0000-000025170000}"/>
    <cellStyle name="Normal 5 2 2 2 2 3 2 3 2" xfId="13649" xr:uid="{66E09F7E-B456-4044-8C08-4579082EDD00}"/>
    <cellStyle name="Normal 5 2 2 2 2 3 2 4" xfId="9431" xr:uid="{9D53EE94-5DC2-4FD9-9964-D25548450291}"/>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2 2 2" xfId="16207" xr:uid="{1411EE7E-985A-4C7D-A516-471058190DF6}"/>
    <cellStyle name="Normal 5 2 2 2 2 3 3 2 3" xfId="11989" xr:uid="{2985EAF7-F572-4ED6-A6B7-573F79468462}"/>
    <cellStyle name="Normal 5 2 2 2 2 3 3 3" xfId="5612" xr:uid="{00000000-0005-0000-0000-000029170000}"/>
    <cellStyle name="Normal 5 2 2 2 2 3 3 3 2" xfId="14062" xr:uid="{FC10E9A3-ED29-43BE-9F07-7E066C7E8269}"/>
    <cellStyle name="Normal 5 2 2 2 2 3 3 4" xfId="9844" xr:uid="{A953123F-A11A-4BC2-AC9A-46C3B68C2939}"/>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2 2 2" xfId="16620" xr:uid="{B3961E2B-0A94-49CD-9912-F4F21C504578}"/>
    <cellStyle name="Normal 5 2 2 2 2 3 4 2 3" xfId="12402" xr:uid="{D3D9974C-DF5C-4612-883C-20C4D835F18F}"/>
    <cellStyle name="Normal 5 2 2 2 2 3 4 3" xfId="6025" xr:uid="{00000000-0005-0000-0000-00002D170000}"/>
    <cellStyle name="Normal 5 2 2 2 2 3 4 3 2" xfId="14475" xr:uid="{C3C45B56-4190-43D3-95DC-1D50EA2AFAE3}"/>
    <cellStyle name="Normal 5 2 2 2 2 3 4 4" xfId="10257" xr:uid="{3A177B77-A113-4EE7-A49F-B40A44E6FD57}"/>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2 2 2" xfId="17033" xr:uid="{54FF032F-C852-49CC-80DE-40558D456A35}"/>
    <cellStyle name="Normal 5 2 2 2 2 3 5 2 3" xfId="12815" xr:uid="{9ABEED9F-9D14-4A7C-9EBC-53ACEAACDD88}"/>
    <cellStyle name="Normal 5 2 2 2 2 3 5 3" xfId="6438" xr:uid="{00000000-0005-0000-0000-000031170000}"/>
    <cellStyle name="Normal 5 2 2 2 2 3 5 3 2" xfId="14888" xr:uid="{2D7DD94F-4F4D-4344-8660-424FBAA52EC3}"/>
    <cellStyle name="Normal 5 2 2 2 2 3 5 4" xfId="10670" xr:uid="{3C56302D-60BE-4C10-A0F2-1FFADFFB0CE1}"/>
    <cellStyle name="Normal 5 2 2 2 2 3 6" xfId="2568" xr:uid="{00000000-0005-0000-0000-000032170000}"/>
    <cellStyle name="Normal 5 2 2 2 2 3 6 2" xfId="6851" xr:uid="{00000000-0005-0000-0000-000033170000}"/>
    <cellStyle name="Normal 5 2 2 2 2 3 6 2 2" xfId="15301" xr:uid="{94910D15-F334-4667-AC56-2DF3FEAE8BD4}"/>
    <cellStyle name="Normal 5 2 2 2 2 3 6 3" xfId="11083" xr:uid="{0A52E378-D015-49EA-A363-1386F1446395}"/>
    <cellStyle name="Normal 5 2 2 2 2 3 7" xfId="4786" xr:uid="{00000000-0005-0000-0000-000034170000}"/>
    <cellStyle name="Normal 5 2 2 2 2 3 7 2" xfId="13236" xr:uid="{5ECA92E3-5E35-4A29-86F0-69A88F754B65}"/>
    <cellStyle name="Normal 5 2 2 2 2 3 8" xfId="9018" xr:uid="{197F0E6D-449C-4F20-AB88-E55220318041}"/>
    <cellStyle name="Normal 5 2 2 2 2 4" xfId="884" xr:uid="{00000000-0005-0000-0000-000035170000}"/>
    <cellStyle name="Normal 5 2 2 2 2 4 2" xfId="3119" xr:uid="{00000000-0005-0000-0000-000036170000}"/>
    <cellStyle name="Normal 5 2 2 2 2 4 2 2" xfId="7341" xr:uid="{00000000-0005-0000-0000-000037170000}"/>
    <cellStyle name="Normal 5 2 2 2 2 4 2 2 2" xfId="15791" xr:uid="{2EB5C060-FF08-4FE6-B009-7980456330F9}"/>
    <cellStyle name="Normal 5 2 2 2 2 4 2 3" xfId="11573" xr:uid="{EEECAC4F-4455-4BE1-80EA-DEBCA787634F}"/>
    <cellStyle name="Normal 5 2 2 2 2 4 3" xfId="5196" xr:uid="{00000000-0005-0000-0000-000038170000}"/>
    <cellStyle name="Normal 5 2 2 2 2 4 3 2" xfId="13646" xr:uid="{79DD6761-E220-4894-AE7C-3B3EC9394CBB}"/>
    <cellStyle name="Normal 5 2 2 2 2 4 4" xfId="9428" xr:uid="{96609CFC-F432-4E66-BCC7-0A982F08CAAF}"/>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2 2 2" xfId="16204" xr:uid="{8DFF63C0-BE0F-4CBF-A7B0-356CC08DDBE5}"/>
    <cellStyle name="Normal 5 2 2 2 2 5 2 3" xfId="11986" xr:uid="{A4016E23-778F-429F-9484-46D84873BBC8}"/>
    <cellStyle name="Normal 5 2 2 2 2 5 3" xfId="5609" xr:uid="{00000000-0005-0000-0000-00003C170000}"/>
    <cellStyle name="Normal 5 2 2 2 2 5 3 2" xfId="14059" xr:uid="{0387BFCF-4290-415D-BE94-A20DD62F1628}"/>
    <cellStyle name="Normal 5 2 2 2 2 5 4" xfId="9841" xr:uid="{ABAAC2BD-187B-41F1-932F-7AC2090C8DAC}"/>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2 2 2" xfId="16617" xr:uid="{26599EFE-5667-425D-90C0-9A4B2C749D68}"/>
    <cellStyle name="Normal 5 2 2 2 2 6 2 3" xfId="12399" xr:uid="{45F3F892-1451-4FD0-B033-091161C868DE}"/>
    <cellStyle name="Normal 5 2 2 2 2 6 3" xfId="6022" xr:uid="{00000000-0005-0000-0000-000040170000}"/>
    <cellStyle name="Normal 5 2 2 2 2 6 3 2" xfId="14472" xr:uid="{9529D580-380D-42BC-BE42-7CDD1ED318E7}"/>
    <cellStyle name="Normal 5 2 2 2 2 6 4" xfId="10254" xr:uid="{27474901-723A-4155-9D83-C698BF128085}"/>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2 2 2" xfId="17030" xr:uid="{A4D26F43-9C4F-46D6-AAE0-BDDD3D3971EE}"/>
    <cellStyle name="Normal 5 2 2 2 2 7 2 3" xfId="12812" xr:uid="{483F5950-A17E-4F2F-9E04-268CB6EA5107}"/>
    <cellStyle name="Normal 5 2 2 2 2 7 3" xfId="6435" xr:uid="{00000000-0005-0000-0000-000044170000}"/>
    <cellStyle name="Normal 5 2 2 2 2 7 3 2" xfId="14885" xr:uid="{D9319AE8-B614-4F76-8905-C05980FB6E09}"/>
    <cellStyle name="Normal 5 2 2 2 2 7 4" xfId="10667" xr:uid="{0B2ABBD6-208D-45A3-A8B4-FCA358F19C84}"/>
    <cellStyle name="Normal 5 2 2 2 2 8" xfId="2565" xr:uid="{00000000-0005-0000-0000-000045170000}"/>
    <cellStyle name="Normal 5 2 2 2 2 8 2" xfId="6848" xr:uid="{00000000-0005-0000-0000-000046170000}"/>
    <cellStyle name="Normal 5 2 2 2 2 8 2 2" xfId="15298" xr:uid="{855554FF-EC1F-4138-BAFF-131DE920514D}"/>
    <cellStyle name="Normal 5 2 2 2 2 8 3" xfId="11080" xr:uid="{4FBFDD8A-B60F-4A64-9765-D23768E7C881}"/>
    <cellStyle name="Normal 5 2 2 2 2 9" xfId="4783" xr:uid="{00000000-0005-0000-0000-000047170000}"/>
    <cellStyle name="Normal 5 2 2 2 2 9 2" xfId="13233" xr:uid="{22C60D31-FB49-4EE8-B28C-446DEDC1136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2 2 2" xfId="15796" xr:uid="{0E2478FE-F40F-4B5C-B307-419389391F9B}"/>
    <cellStyle name="Normal 5 2 2 2 3 2 2 2 3" xfId="11578" xr:uid="{617F9C0D-FC1E-4814-8ED8-CFDCD7291343}"/>
    <cellStyle name="Normal 5 2 2 2 3 2 2 3" xfId="5201" xr:uid="{00000000-0005-0000-0000-00004D170000}"/>
    <cellStyle name="Normal 5 2 2 2 3 2 2 3 2" xfId="13651" xr:uid="{E1C9D94D-BAF6-48B2-A7A2-96E32F957E7A}"/>
    <cellStyle name="Normal 5 2 2 2 3 2 2 4" xfId="9433" xr:uid="{18E1AB56-B059-4F3D-B2D5-02C994F9FBC2}"/>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2 2 2" xfId="16209" xr:uid="{C9D87257-9296-402C-AEFC-AA4D7DB87BC6}"/>
    <cellStyle name="Normal 5 2 2 2 3 2 3 2 3" xfId="11991" xr:uid="{4C3C4C93-A93E-4916-8C04-7D4CAD4A4AFC}"/>
    <cellStyle name="Normal 5 2 2 2 3 2 3 3" xfId="5614" xr:uid="{00000000-0005-0000-0000-000051170000}"/>
    <cellStyle name="Normal 5 2 2 2 3 2 3 3 2" xfId="14064" xr:uid="{07735D8F-C17A-4B30-82F0-9725F94FE410}"/>
    <cellStyle name="Normal 5 2 2 2 3 2 3 4" xfId="9846" xr:uid="{5541CFF8-59D2-4BFC-8788-5AE8D99CB4F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2 2 2" xfId="16622" xr:uid="{70DEC037-519F-47A6-99DB-4722AEFEEB6F}"/>
    <cellStyle name="Normal 5 2 2 2 3 2 4 2 3" xfId="12404" xr:uid="{B5FBC419-E774-4FA4-9EEC-AFC1863DF0E6}"/>
    <cellStyle name="Normal 5 2 2 2 3 2 4 3" xfId="6027" xr:uid="{00000000-0005-0000-0000-000055170000}"/>
    <cellStyle name="Normal 5 2 2 2 3 2 4 3 2" xfId="14477" xr:uid="{2C60864A-AE9A-4118-8FAC-EF6B2C3C695F}"/>
    <cellStyle name="Normal 5 2 2 2 3 2 4 4" xfId="10259" xr:uid="{60F4B972-5962-444F-A7C3-12875972EEBB}"/>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2 2 2" xfId="17035" xr:uid="{71FDF248-29A0-4BB7-ACCB-C15654AF8A50}"/>
    <cellStyle name="Normal 5 2 2 2 3 2 5 2 3" xfId="12817" xr:uid="{F2E8F128-39C3-4942-980E-794CA10FB70F}"/>
    <cellStyle name="Normal 5 2 2 2 3 2 5 3" xfId="6440" xr:uid="{00000000-0005-0000-0000-000059170000}"/>
    <cellStyle name="Normal 5 2 2 2 3 2 5 3 2" xfId="14890" xr:uid="{7CA3B03A-29FB-4755-84CA-277604251EA3}"/>
    <cellStyle name="Normal 5 2 2 2 3 2 5 4" xfId="10672" xr:uid="{D04DF512-E73F-49C9-A780-A0579D2DBDA0}"/>
    <cellStyle name="Normal 5 2 2 2 3 2 6" xfId="2570" xr:uid="{00000000-0005-0000-0000-00005A170000}"/>
    <cellStyle name="Normal 5 2 2 2 3 2 6 2" xfId="6853" xr:uid="{00000000-0005-0000-0000-00005B170000}"/>
    <cellStyle name="Normal 5 2 2 2 3 2 6 2 2" xfId="15303" xr:uid="{C25155BE-B9F7-4120-B289-06CC6C53830C}"/>
    <cellStyle name="Normal 5 2 2 2 3 2 6 3" xfId="11085" xr:uid="{ACC429CB-7EA5-47EA-9F89-BEDEC96D3ADC}"/>
    <cellStyle name="Normal 5 2 2 2 3 2 7" xfId="4788" xr:uid="{00000000-0005-0000-0000-00005C170000}"/>
    <cellStyle name="Normal 5 2 2 2 3 2 7 2" xfId="13238" xr:uid="{E911C6E8-9C2E-483B-9C2B-FE4E1593A2F3}"/>
    <cellStyle name="Normal 5 2 2 2 3 2 8" xfId="9020" xr:uid="{9D8DA0CF-DD7C-4583-A347-97B9DACBCE44}"/>
    <cellStyle name="Normal 5 2 2 2 3 3" xfId="888" xr:uid="{00000000-0005-0000-0000-00005D170000}"/>
    <cellStyle name="Normal 5 2 2 2 3 3 2" xfId="3123" xr:uid="{00000000-0005-0000-0000-00005E170000}"/>
    <cellStyle name="Normal 5 2 2 2 3 3 2 2" xfId="7345" xr:uid="{00000000-0005-0000-0000-00005F170000}"/>
    <cellStyle name="Normal 5 2 2 2 3 3 2 2 2" xfId="15795" xr:uid="{8CE60CD7-BF25-4EE1-B0CD-45FB96F6DB71}"/>
    <cellStyle name="Normal 5 2 2 2 3 3 2 3" xfId="11577" xr:uid="{A232BB17-485A-45BC-A564-96193D5B23EC}"/>
    <cellStyle name="Normal 5 2 2 2 3 3 3" xfId="5200" xr:uid="{00000000-0005-0000-0000-000060170000}"/>
    <cellStyle name="Normal 5 2 2 2 3 3 3 2" xfId="13650" xr:uid="{25227BA6-696D-49A0-8D5A-60F0824EDC50}"/>
    <cellStyle name="Normal 5 2 2 2 3 3 4" xfId="9432" xr:uid="{7BE0DCE0-230A-4A20-9E94-CA23E8FE4114}"/>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2 2 2" xfId="16208" xr:uid="{95375E9F-5BA6-4529-BB65-2B3C686F2D77}"/>
    <cellStyle name="Normal 5 2 2 2 3 4 2 3" xfId="11990" xr:uid="{2A6D49C9-38A0-4272-8AA9-6EA80EAB06D3}"/>
    <cellStyle name="Normal 5 2 2 2 3 4 3" xfId="5613" xr:uid="{00000000-0005-0000-0000-000064170000}"/>
    <cellStyle name="Normal 5 2 2 2 3 4 3 2" xfId="14063" xr:uid="{7C44F041-4C05-4169-B6C0-2F6B8F7686F9}"/>
    <cellStyle name="Normal 5 2 2 2 3 4 4" xfId="9845" xr:uid="{F651E91A-5117-4393-8509-D04715DA298E}"/>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2 2 2" xfId="16621" xr:uid="{F4534072-A839-43FA-A7EC-91A2622FD2EA}"/>
    <cellStyle name="Normal 5 2 2 2 3 5 2 3" xfId="12403" xr:uid="{D674C11D-E742-43B6-AE05-E493129A375E}"/>
    <cellStyle name="Normal 5 2 2 2 3 5 3" xfId="6026" xr:uid="{00000000-0005-0000-0000-000068170000}"/>
    <cellStyle name="Normal 5 2 2 2 3 5 3 2" xfId="14476" xr:uid="{7E87C5F7-7841-4E90-8555-7C043E69D000}"/>
    <cellStyle name="Normal 5 2 2 2 3 5 4" xfId="10258" xr:uid="{559A8D9D-4AA3-4781-8293-38A1FEF8C9B9}"/>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2 2 2" xfId="17034" xr:uid="{A5591435-753B-46E8-A16E-54CF8100E382}"/>
    <cellStyle name="Normal 5 2 2 2 3 6 2 3" xfId="12816" xr:uid="{F3280774-6AAF-4CA2-89C6-818BE8F80736}"/>
    <cellStyle name="Normal 5 2 2 2 3 6 3" xfId="6439" xr:uid="{00000000-0005-0000-0000-00006C170000}"/>
    <cellStyle name="Normal 5 2 2 2 3 6 3 2" xfId="14889" xr:uid="{D7814A3F-4A09-4C56-9983-E7CC6CC68764}"/>
    <cellStyle name="Normal 5 2 2 2 3 6 4" xfId="10671" xr:uid="{7B8E3F5D-4F30-4C47-9CD7-08DB89940637}"/>
    <cellStyle name="Normal 5 2 2 2 3 7" xfId="2569" xr:uid="{00000000-0005-0000-0000-00006D170000}"/>
    <cellStyle name="Normal 5 2 2 2 3 7 2" xfId="6852" xr:uid="{00000000-0005-0000-0000-00006E170000}"/>
    <cellStyle name="Normal 5 2 2 2 3 7 2 2" xfId="15302" xr:uid="{D9846711-1F68-4CAE-9FF0-1538FC4ACA16}"/>
    <cellStyle name="Normal 5 2 2 2 3 7 3" xfId="11084" xr:uid="{C6445AF4-72FE-46EE-8696-79942BF3FD48}"/>
    <cellStyle name="Normal 5 2 2 2 3 8" xfId="4787" xr:uid="{00000000-0005-0000-0000-00006F170000}"/>
    <cellStyle name="Normal 5 2 2 2 3 8 2" xfId="13237" xr:uid="{A00F1244-F498-4DE6-92EE-BE51946F0DB5}"/>
    <cellStyle name="Normal 5 2 2 2 3 9" xfId="9019" xr:uid="{AFFAF1ED-9933-4C9C-B12C-27CA5DA4B838}"/>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2 2 2" xfId="15797" xr:uid="{D4DAA18D-31B0-4077-BDBB-32B4C640F273}"/>
    <cellStyle name="Normal 5 2 2 2 4 2 2 3" xfId="11579" xr:uid="{F0E9B9AA-D2A7-4023-B2BA-ABD76D7A645D}"/>
    <cellStyle name="Normal 5 2 2 2 4 2 3" xfId="5202" xr:uid="{00000000-0005-0000-0000-000074170000}"/>
    <cellStyle name="Normal 5 2 2 2 4 2 3 2" xfId="13652" xr:uid="{ED13B993-15E0-4B90-9205-1AEA73B9F08F}"/>
    <cellStyle name="Normal 5 2 2 2 4 2 4" xfId="9434" xr:uid="{2D7366CE-3D54-4729-9195-B6ACA41F1EBF}"/>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2 2 2" xfId="16210" xr:uid="{5FB2B2DD-2291-4B3B-B68C-A2CC1EC73873}"/>
    <cellStyle name="Normal 5 2 2 2 4 3 2 3" xfId="11992" xr:uid="{1984916A-954B-4728-8AEC-CC3F500AAE67}"/>
    <cellStyle name="Normal 5 2 2 2 4 3 3" xfId="5615" xr:uid="{00000000-0005-0000-0000-000078170000}"/>
    <cellStyle name="Normal 5 2 2 2 4 3 3 2" xfId="14065" xr:uid="{D3C29C0E-7AD0-466C-AE95-0EA41E92A8A5}"/>
    <cellStyle name="Normal 5 2 2 2 4 3 4" xfId="9847" xr:uid="{1B59B73C-E2AD-40D1-87F3-765B5106EEB1}"/>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2 2 2" xfId="16623" xr:uid="{8B425CAC-53CB-4459-86C0-6EA13981660D}"/>
    <cellStyle name="Normal 5 2 2 2 4 4 2 3" xfId="12405" xr:uid="{124749EE-2995-420F-A744-748DA181DD9C}"/>
    <cellStyle name="Normal 5 2 2 2 4 4 3" xfId="6028" xr:uid="{00000000-0005-0000-0000-00007C170000}"/>
    <cellStyle name="Normal 5 2 2 2 4 4 3 2" xfId="14478" xr:uid="{8F54F018-228F-469F-A419-4EF7798CD17E}"/>
    <cellStyle name="Normal 5 2 2 2 4 4 4" xfId="10260" xr:uid="{63EEF93C-71E4-4871-ADD7-935EE238DAC4}"/>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2 2 2" xfId="17036" xr:uid="{10D792EA-5430-41BB-A703-A7C2E1CA02C4}"/>
    <cellStyle name="Normal 5 2 2 2 4 5 2 3" xfId="12818" xr:uid="{86BC0755-C914-478A-AFCD-CE78AD9FD332}"/>
    <cellStyle name="Normal 5 2 2 2 4 5 3" xfId="6441" xr:uid="{00000000-0005-0000-0000-000080170000}"/>
    <cellStyle name="Normal 5 2 2 2 4 5 3 2" xfId="14891" xr:uid="{77705E73-DA65-4DD6-99CE-B949933B402E}"/>
    <cellStyle name="Normal 5 2 2 2 4 5 4" xfId="10673" xr:uid="{4A97F7D8-2B0C-4661-9881-77E45A933E6B}"/>
    <cellStyle name="Normal 5 2 2 2 4 6" xfId="2571" xr:uid="{00000000-0005-0000-0000-000081170000}"/>
    <cellStyle name="Normal 5 2 2 2 4 6 2" xfId="6854" xr:uid="{00000000-0005-0000-0000-000082170000}"/>
    <cellStyle name="Normal 5 2 2 2 4 6 2 2" xfId="15304" xr:uid="{7B8D716D-7D2C-4740-B1AC-7E0CABC7E6CA}"/>
    <cellStyle name="Normal 5 2 2 2 4 6 3" xfId="11086" xr:uid="{1B5CB65B-4C90-4D5E-8F08-4668FF0ED142}"/>
    <cellStyle name="Normal 5 2 2 2 4 7" xfId="4789" xr:uid="{00000000-0005-0000-0000-000083170000}"/>
    <cellStyle name="Normal 5 2 2 2 4 7 2" xfId="13239" xr:uid="{9EDCDE73-464C-466F-A72B-3D7D440038DD}"/>
    <cellStyle name="Normal 5 2 2 2 4 8" xfId="9021" xr:uid="{E08F5F6E-E835-4D08-AF46-6AC699787DDF}"/>
    <cellStyle name="Normal 5 2 2 2 5" xfId="883" xr:uid="{00000000-0005-0000-0000-000084170000}"/>
    <cellStyle name="Normal 5 2 2 2 5 2" xfId="3118" xr:uid="{00000000-0005-0000-0000-000085170000}"/>
    <cellStyle name="Normal 5 2 2 2 5 2 2" xfId="7340" xr:uid="{00000000-0005-0000-0000-000086170000}"/>
    <cellStyle name="Normal 5 2 2 2 5 2 2 2" xfId="15790" xr:uid="{2195D160-583B-4ADA-A02B-5F8BF362628A}"/>
    <cellStyle name="Normal 5 2 2 2 5 2 3" xfId="11572" xr:uid="{ED376871-8D79-4EDA-8DCC-B28C84DC6310}"/>
    <cellStyle name="Normal 5 2 2 2 5 3" xfId="5195" xr:uid="{00000000-0005-0000-0000-000087170000}"/>
    <cellStyle name="Normal 5 2 2 2 5 3 2" xfId="13645" xr:uid="{84B59BCB-8DE1-44BC-A499-E2F0EBFB9A3C}"/>
    <cellStyle name="Normal 5 2 2 2 5 4" xfId="9427" xr:uid="{6DBBCA65-D57A-4F2F-8FD8-52908BA7F21A}"/>
    <cellStyle name="Normal 5 2 2 2 6" xfId="1301" xr:uid="{00000000-0005-0000-0000-000088170000}"/>
    <cellStyle name="Normal 5 2 2 2 6 2" xfId="3531" xr:uid="{00000000-0005-0000-0000-000089170000}"/>
    <cellStyle name="Normal 5 2 2 2 6 2 2" xfId="7753" xr:uid="{00000000-0005-0000-0000-00008A170000}"/>
    <cellStyle name="Normal 5 2 2 2 6 2 2 2" xfId="16203" xr:uid="{45717F16-BB39-4B74-B5DA-85FB9969D0AE}"/>
    <cellStyle name="Normal 5 2 2 2 6 2 3" xfId="11985" xr:uid="{B5B9D13E-9103-4CBE-B82C-ACF3793DB1AA}"/>
    <cellStyle name="Normal 5 2 2 2 6 3" xfId="5608" xr:uid="{00000000-0005-0000-0000-00008B170000}"/>
    <cellStyle name="Normal 5 2 2 2 6 3 2" xfId="14058" xr:uid="{AC59D04A-C52C-4D89-89DF-01CDC4A02733}"/>
    <cellStyle name="Normal 5 2 2 2 6 4" xfId="9840" xr:uid="{003981CF-2F97-499F-B57C-502B504AFD00}"/>
    <cellStyle name="Normal 5 2 2 2 7" xfId="1714" xr:uid="{00000000-0005-0000-0000-00008C170000}"/>
    <cellStyle name="Normal 5 2 2 2 7 2" xfId="3944" xr:uid="{00000000-0005-0000-0000-00008D170000}"/>
    <cellStyle name="Normal 5 2 2 2 7 2 2" xfId="8166" xr:uid="{00000000-0005-0000-0000-00008E170000}"/>
    <cellStyle name="Normal 5 2 2 2 7 2 2 2" xfId="16616" xr:uid="{3B7CFD11-C56D-4EE4-873E-06FC9932BAF4}"/>
    <cellStyle name="Normal 5 2 2 2 7 2 3" xfId="12398" xr:uid="{D5A1FB79-E64C-4BF6-B919-64FC988E8753}"/>
    <cellStyle name="Normal 5 2 2 2 7 3" xfId="6021" xr:uid="{00000000-0005-0000-0000-00008F170000}"/>
    <cellStyle name="Normal 5 2 2 2 7 3 2" xfId="14471" xr:uid="{E201623A-153E-43E8-90AD-0D8F2B61F619}"/>
    <cellStyle name="Normal 5 2 2 2 7 4" xfId="10253" xr:uid="{267D0BFA-1AD5-4150-B78B-74D11F3C3E34}"/>
    <cellStyle name="Normal 5 2 2 2 8" xfId="2128" xr:uid="{00000000-0005-0000-0000-000090170000}"/>
    <cellStyle name="Normal 5 2 2 2 8 2" xfId="4357" xr:uid="{00000000-0005-0000-0000-000091170000}"/>
    <cellStyle name="Normal 5 2 2 2 8 2 2" xfId="8579" xr:uid="{00000000-0005-0000-0000-000092170000}"/>
    <cellStyle name="Normal 5 2 2 2 8 2 2 2" xfId="17029" xr:uid="{109F6A57-E296-4B22-B487-B97D42ADF2B5}"/>
    <cellStyle name="Normal 5 2 2 2 8 2 3" xfId="12811" xr:uid="{C48FAD7D-3717-4046-9DE5-4BD891D2DAB0}"/>
    <cellStyle name="Normal 5 2 2 2 8 3" xfId="6434" xr:uid="{00000000-0005-0000-0000-000093170000}"/>
    <cellStyle name="Normal 5 2 2 2 8 3 2" xfId="14884" xr:uid="{523A5412-31FF-4F2B-A12B-3A7FD7624F42}"/>
    <cellStyle name="Normal 5 2 2 2 8 4" xfId="10666" xr:uid="{F43C82F3-1B41-4C5A-A212-0659A6C21F79}"/>
    <cellStyle name="Normal 5 2 2 2 9" xfId="2564" xr:uid="{00000000-0005-0000-0000-000094170000}"/>
    <cellStyle name="Normal 5 2 2 2 9 2" xfId="6847" xr:uid="{00000000-0005-0000-0000-000095170000}"/>
    <cellStyle name="Normal 5 2 2 2 9 2 2" xfId="15297" xr:uid="{B62BB97C-9079-4DA1-855F-D0DDD87D9DE0}"/>
    <cellStyle name="Normal 5 2 2 2 9 3" xfId="11079" xr:uid="{FE2CA2E1-8960-4214-83A7-CD081AEC392B}"/>
    <cellStyle name="Normal 5 2 2 3" xfId="417" xr:uid="{00000000-0005-0000-0000-000096170000}"/>
    <cellStyle name="Normal 5 2 2 3 10" xfId="9022" xr:uid="{75AE8227-D045-4AFC-A39C-B5E42EBA2775}"/>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2 2 2" xfId="15800" xr:uid="{C65CE948-2B42-412D-8367-403C278B6BDC}"/>
    <cellStyle name="Normal 5 2 2 3 2 2 2 2 3" xfId="11582" xr:uid="{CA6D681E-41D8-4140-A190-A5AAFA4D0B06}"/>
    <cellStyle name="Normal 5 2 2 3 2 2 2 3" xfId="5205" xr:uid="{00000000-0005-0000-0000-00009C170000}"/>
    <cellStyle name="Normal 5 2 2 3 2 2 2 3 2" xfId="13655" xr:uid="{474DF234-E5F7-4506-B4AA-C11DEC3F1A9A}"/>
    <cellStyle name="Normal 5 2 2 3 2 2 2 4" xfId="9437" xr:uid="{98127C71-7041-4DFF-845C-E829F4CC2319}"/>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2 2 2" xfId="16213" xr:uid="{ABF6FB1C-F3AE-418B-B8D9-E59D95175A78}"/>
    <cellStyle name="Normal 5 2 2 3 2 2 3 2 3" xfId="11995" xr:uid="{689F508B-A346-461C-A36F-4E94DCE5C4B7}"/>
    <cellStyle name="Normal 5 2 2 3 2 2 3 3" xfId="5618" xr:uid="{00000000-0005-0000-0000-0000A0170000}"/>
    <cellStyle name="Normal 5 2 2 3 2 2 3 3 2" xfId="14068" xr:uid="{5C563B60-D20F-4311-A454-DBEE8291C279}"/>
    <cellStyle name="Normal 5 2 2 3 2 2 3 4" xfId="9850" xr:uid="{684F863B-9EB1-49BA-8D8F-D3129B0FD955}"/>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2 2 2" xfId="16626" xr:uid="{E75E118B-6D0D-431E-A403-1F6F1A0DE279}"/>
    <cellStyle name="Normal 5 2 2 3 2 2 4 2 3" xfId="12408" xr:uid="{F12370AE-1995-4D35-874A-A54042649F4B}"/>
    <cellStyle name="Normal 5 2 2 3 2 2 4 3" xfId="6031" xr:uid="{00000000-0005-0000-0000-0000A4170000}"/>
    <cellStyle name="Normal 5 2 2 3 2 2 4 3 2" xfId="14481" xr:uid="{F2B3902D-1156-484A-874C-4AB3B029DF07}"/>
    <cellStyle name="Normal 5 2 2 3 2 2 4 4" xfId="10263" xr:uid="{5BC12C91-14D3-4B87-90A0-D6A837F79006}"/>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2 2 2" xfId="17039" xr:uid="{8275B431-B51D-401A-8CD5-21A0915CA0BA}"/>
    <cellStyle name="Normal 5 2 2 3 2 2 5 2 3" xfId="12821" xr:uid="{F6496E33-A125-48E2-93EF-C221BF3141A0}"/>
    <cellStyle name="Normal 5 2 2 3 2 2 5 3" xfId="6444" xr:uid="{00000000-0005-0000-0000-0000A8170000}"/>
    <cellStyle name="Normal 5 2 2 3 2 2 5 3 2" xfId="14894" xr:uid="{E6479EFB-4165-4A55-A492-795753462DE7}"/>
    <cellStyle name="Normal 5 2 2 3 2 2 5 4" xfId="10676" xr:uid="{E72A0AF4-2DC3-40ED-B63C-D436244500D2}"/>
    <cellStyle name="Normal 5 2 2 3 2 2 6" xfId="2574" xr:uid="{00000000-0005-0000-0000-0000A9170000}"/>
    <cellStyle name="Normal 5 2 2 3 2 2 6 2" xfId="6857" xr:uid="{00000000-0005-0000-0000-0000AA170000}"/>
    <cellStyle name="Normal 5 2 2 3 2 2 6 2 2" xfId="15307" xr:uid="{3D4EB5C6-CF0D-40A0-8536-898F4EDD78D3}"/>
    <cellStyle name="Normal 5 2 2 3 2 2 6 3" xfId="11089" xr:uid="{321FB5D4-CBDE-44F3-9A75-E2B888CC8232}"/>
    <cellStyle name="Normal 5 2 2 3 2 2 7" xfId="4792" xr:uid="{00000000-0005-0000-0000-0000AB170000}"/>
    <cellStyle name="Normal 5 2 2 3 2 2 7 2" xfId="13242" xr:uid="{7237BD77-DEDE-428C-A6D8-75CE40FB19C2}"/>
    <cellStyle name="Normal 5 2 2 3 2 2 8" xfId="9024" xr:uid="{72A15589-915D-4655-AAC8-B647A5051CAB}"/>
    <cellStyle name="Normal 5 2 2 3 2 3" xfId="892" xr:uid="{00000000-0005-0000-0000-0000AC170000}"/>
    <cellStyle name="Normal 5 2 2 3 2 3 2" xfId="3127" xr:uid="{00000000-0005-0000-0000-0000AD170000}"/>
    <cellStyle name="Normal 5 2 2 3 2 3 2 2" xfId="7349" xr:uid="{00000000-0005-0000-0000-0000AE170000}"/>
    <cellStyle name="Normal 5 2 2 3 2 3 2 2 2" xfId="15799" xr:uid="{349193BC-C532-49DB-AD8D-69F4143D2E5D}"/>
    <cellStyle name="Normal 5 2 2 3 2 3 2 3" xfId="11581" xr:uid="{E4F41CF4-460B-4DDD-9F07-6BF45FAA88EA}"/>
    <cellStyle name="Normal 5 2 2 3 2 3 3" xfId="5204" xr:uid="{00000000-0005-0000-0000-0000AF170000}"/>
    <cellStyle name="Normal 5 2 2 3 2 3 3 2" xfId="13654" xr:uid="{0656FA81-1CA8-43B9-A538-7C611D656241}"/>
    <cellStyle name="Normal 5 2 2 3 2 3 4" xfId="9436" xr:uid="{E2E00CAC-52ED-48D7-87B3-0F98029F3902}"/>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2 2 2" xfId="16212" xr:uid="{0BC52336-D963-4D71-9458-14F0F3C9C41F}"/>
    <cellStyle name="Normal 5 2 2 3 2 4 2 3" xfId="11994" xr:uid="{86A08296-B31C-48C6-9C00-0338175BF4A2}"/>
    <cellStyle name="Normal 5 2 2 3 2 4 3" xfId="5617" xr:uid="{00000000-0005-0000-0000-0000B3170000}"/>
    <cellStyle name="Normal 5 2 2 3 2 4 3 2" xfId="14067" xr:uid="{AEC773D4-6331-4E82-A224-8B2203706E31}"/>
    <cellStyle name="Normal 5 2 2 3 2 4 4" xfId="9849" xr:uid="{35683912-59E1-4B6B-93C7-FE82B12E1091}"/>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2 2 2" xfId="16625" xr:uid="{6DA824B9-07AC-40FC-A632-2CA56E9E8534}"/>
    <cellStyle name="Normal 5 2 2 3 2 5 2 3" xfId="12407" xr:uid="{90BE4190-C35F-4621-A899-115DC9D081CB}"/>
    <cellStyle name="Normal 5 2 2 3 2 5 3" xfId="6030" xr:uid="{00000000-0005-0000-0000-0000B7170000}"/>
    <cellStyle name="Normal 5 2 2 3 2 5 3 2" xfId="14480" xr:uid="{A618C9E2-8E39-460A-8A79-46A91713E332}"/>
    <cellStyle name="Normal 5 2 2 3 2 5 4" xfId="10262" xr:uid="{ADFA2344-935E-4083-96D4-5A6737AFD8EF}"/>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2 2 2" xfId="17038" xr:uid="{55B61C40-5564-4DF7-BDDA-4C00CF8EE4C2}"/>
    <cellStyle name="Normal 5 2 2 3 2 6 2 3" xfId="12820" xr:uid="{BF6A1392-449A-4043-85C1-84925DDD30D9}"/>
    <cellStyle name="Normal 5 2 2 3 2 6 3" xfId="6443" xr:uid="{00000000-0005-0000-0000-0000BB170000}"/>
    <cellStyle name="Normal 5 2 2 3 2 6 3 2" xfId="14893" xr:uid="{596E82A4-AEC5-49F8-BBFF-0598B6434863}"/>
    <cellStyle name="Normal 5 2 2 3 2 6 4" xfId="10675" xr:uid="{B493F434-DA41-49C5-A07C-20F21CC37A1A}"/>
    <cellStyle name="Normal 5 2 2 3 2 7" xfId="2573" xr:uid="{00000000-0005-0000-0000-0000BC170000}"/>
    <cellStyle name="Normal 5 2 2 3 2 7 2" xfId="6856" xr:uid="{00000000-0005-0000-0000-0000BD170000}"/>
    <cellStyle name="Normal 5 2 2 3 2 7 2 2" xfId="15306" xr:uid="{B71A0BFF-0B36-4DAF-9A9D-BC26B663FAAD}"/>
    <cellStyle name="Normal 5 2 2 3 2 7 3" xfId="11088" xr:uid="{9854292C-A896-4D08-B19C-68B17473BA32}"/>
    <cellStyle name="Normal 5 2 2 3 2 8" xfId="4791" xr:uid="{00000000-0005-0000-0000-0000BE170000}"/>
    <cellStyle name="Normal 5 2 2 3 2 8 2" xfId="13241" xr:uid="{2B9E1049-568E-449E-976C-4B670A15BDF3}"/>
    <cellStyle name="Normal 5 2 2 3 2 9" xfId="9023" xr:uid="{AB607BB4-D1DB-4852-BDBC-2A533D7FCCAB}"/>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2 2 2" xfId="15801" xr:uid="{5C23DC42-ADC3-4560-9DB8-B14AB8D300BE}"/>
    <cellStyle name="Normal 5 2 2 3 3 2 2 3" xfId="11583" xr:uid="{70DFBF38-89C2-4E55-B129-18BFEA87B2FA}"/>
    <cellStyle name="Normal 5 2 2 3 3 2 3" xfId="5206" xr:uid="{00000000-0005-0000-0000-0000C3170000}"/>
    <cellStyle name="Normal 5 2 2 3 3 2 3 2" xfId="13656" xr:uid="{E1EC4E99-C948-4F15-86ED-B59C238FA8CF}"/>
    <cellStyle name="Normal 5 2 2 3 3 2 4" xfId="9438" xr:uid="{BC4A6CDB-F0FD-40B8-A917-583C9B920906}"/>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2 2 2" xfId="16214" xr:uid="{A4E81214-C252-496A-94DC-FD8C261B7557}"/>
    <cellStyle name="Normal 5 2 2 3 3 3 2 3" xfId="11996" xr:uid="{9A6BD117-AD60-42E1-8AB0-EA157978AA46}"/>
    <cellStyle name="Normal 5 2 2 3 3 3 3" xfId="5619" xr:uid="{00000000-0005-0000-0000-0000C7170000}"/>
    <cellStyle name="Normal 5 2 2 3 3 3 3 2" xfId="14069" xr:uid="{262FC111-C3F4-4972-AFD6-F3C0A7B19DE0}"/>
    <cellStyle name="Normal 5 2 2 3 3 3 4" xfId="9851" xr:uid="{103A04D0-E20D-4736-A040-B6AE1CA6F918}"/>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2 2 2" xfId="16627" xr:uid="{773419A5-F3D5-4FD4-89C4-ED8A66417E40}"/>
    <cellStyle name="Normal 5 2 2 3 3 4 2 3" xfId="12409" xr:uid="{65505A06-78F6-4DB4-9CB9-F0F2B316AFB4}"/>
    <cellStyle name="Normal 5 2 2 3 3 4 3" xfId="6032" xr:uid="{00000000-0005-0000-0000-0000CB170000}"/>
    <cellStyle name="Normal 5 2 2 3 3 4 3 2" xfId="14482" xr:uid="{8F34FC7E-A6DC-4F43-A53D-6B08B941EED7}"/>
    <cellStyle name="Normal 5 2 2 3 3 4 4" xfId="10264" xr:uid="{54765885-0461-452D-86B7-738FA101D3E2}"/>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2 2 2" xfId="17040" xr:uid="{49BD63C9-440E-4293-9FCC-521305CE6966}"/>
    <cellStyle name="Normal 5 2 2 3 3 5 2 3" xfId="12822" xr:uid="{0E1EB22E-C370-4019-AEFE-C840246194B8}"/>
    <cellStyle name="Normal 5 2 2 3 3 5 3" xfId="6445" xr:uid="{00000000-0005-0000-0000-0000CF170000}"/>
    <cellStyle name="Normal 5 2 2 3 3 5 3 2" xfId="14895" xr:uid="{4645A1B8-C446-4B22-8033-946B091C1241}"/>
    <cellStyle name="Normal 5 2 2 3 3 5 4" xfId="10677" xr:uid="{B527D0CE-2601-45D3-B650-35D59FCE6F5E}"/>
    <cellStyle name="Normal 5 2 2 3 3 6" xfId="2575" xr:uid="{00000000-0005-0000-0000-0000D0170000}"/>
    <cellStyle name="Normal 5 2 2 3 3 6 2" xfId="6858" xr:uid="{00000000-0005-0000-0000-0000D1170000}"/>
    <cellStyle name="Normal 5 2 2 3 3 6 2 2" xfId="15308" xr:uid="{CC4CB1B6-A663-45D8-B178-FD1598A2256F}"/>
    <cellStyle name="Normal 5 2 2 3 3 6 3" xfId="11090" xr:uid="{6FBB7A20-1F48-4597-B920-51293C8A82F1}"/>
    <cellStyle name="Normal 5 2 2 3 3 7" xfId="4793" xr:uid="{00000000-0005-0000-0000-0000D2170000}"/>
    <cellStyle name="Normal 5 2 2 3 3 7 2" xfId="13243" xr:uid="{9417497F-59B6-4FE6-9FBC-3B72EEF50794}"/>
    <cellStyle name="Normal 5 2 2 3 3 8" xfId="9025" xr:uid="{30F2D1F0-6DDE-4B04-B6FA-14259DC22F30}"/>
    <cellStyle name="Normal 5 2 2 3 4" xfId="891" xr:uid="{00000000-0005-0000-0000-0000D3170000}"/>
    <cellStyle name="Normal 5 2 2 3 4 2" xfId="3126" xr:uid="{00000000-0005-0000-0000-0000D4170000}"/>
    <cellStyle name="Normal 5 2 2 3 4 2 2" xfId="7348" xr:uid="{00000000-0005-0000-0000-0000D5170000}"/>
    <cellStyle name="Normal 5 2 2 3 4 2 2 2" xfId="15798" xr:uid="{30D873A1-8AED-4CF7-AF4D-D8AAC076740E}"/>
    <cellStyle name="Normal 5 2 2 3 4 2 3" xfId="11580" xr:uid="{0B1B7803-8850-4D71-8964-F5EA248866EA}"/>
    <cellStyle name="Normal 5 2 2 3 4 3" xfId="5203" xr:uid="{00000000-0005-0000-0000-0000D6170000}"/>
    <cellStyle name="Normal 5 2 2 3 4 3 2" xfId="13653" xr:uid="{08F4B8FF-EE6A-4A86-A362-683D69C17516}"/>
    <cellStyle name="Normal 5 2 2 3 4 4" xfId="9435" xr:uid="{D70D0CFE-32EA-489B-A415-EB1FDC6217BD}"/>
    <cellStyle name="Normal 5 2 2 3 5" xfId="1309" xr:uid="{00000000-0005-0000-0000-0000D7170000}"/>
    <cellStyle name="Normal 5 2 2 3 5 2" xfId="3539" xr:uid="{00000000-0005-0000-0000-0000D8170000}"/>
    <cellStyle name="Normal 5 2 2 3 5 2 2" xfId="7761" xr:uid="{00000000-0005-0000-0000-0000D9170000}"/>
    <cellStyle name="Normal 5 2 2 3 5 2 2 2" xfId="16211" xr:uid="{5097510E-BCDB-4EEB-9494-6E6778984810}"/>
    <cellStyle name="Normal 5 2 2 3 5 2 3" xfId="11993" xr:uid="{5F368881-369E-495F-A2C6-508FD2467900}"/>
    <cellStyle name="Normal 5 2 2 3 5 3" xfId="5616" xr:uid="{00000000-0005-0000-0000-0000DA170000}"/>
    <cellStyle name="Normal 5 2 2 3 5 3 2" xfId="14066" xr:uid="{B3B4D2C3-048B-429E-BA6C-C45D537C8626}"/>
    <cellStyle name="Normal 5 2 2 3 5 4" xfId="9848" xr:uid="{CE841A58-B74E-42FD-BD71-27DB41EC5A14}"/>
    <cellStyle name="Normal 5 2 2 3 6" xfId="1722" xr:uid="{00000000-0005-0000-0000-0000DB170000}"/>
    <cellStyle name="Normal 5 2 2 3 6 2" xfId="3952" xr:uid="{00000000-0005-0000-0000-0000DC170000}"/>
    <cellStyle name="Normal 5 2 2 3 6 2 2" xfId="8174" xr:uid="{00000000-0005-0000-0000-0000DD170000}"/>
    <cellStyle name="Normal 5 2 2 3 6 2 2 2" xfId="16624" xr:uid="{A13E6D25-E3FF-4C07-A71A-CF6D111F7997}"/>
    <cellStyle name="Normal 5 2 2 3 6 2 3" xfId="12406" xr:uid="{28189398-949A-49BF-816C-5E5C646A0291}"/>
    <cellStyle name="Normal 5 2 2 3 6 3" xfId="6029" xr:uid="{00000000-0005-0000-0000-0000DE170000}"/>
    <cellStyle name="Normal 5 2 2 3 6 3 2" xfId="14479" xr:uid="{0DFAF7CF-2024-4D5E-88BC-FC0768D29C4F}"/>
    <cellStyle name="Normal 5 2 2 3 6 4" xfId="10261" xr:uid="{B58F7466-0050-4065-A8B9-7935529EAD1F}"/>
    <cellStyle name="Normal 5 2 2 3 7" xfId="2136" xr:uid="{00000000-0005-0000-0000-0000DF170000}"/>
    <cellStyle name="Normal 5 2 2 3 7 2" xfId="4365" xr:uid="{00000000-0005-0000-0000-0000E0170000}"/>
    <cellStyle name="Normal 5 2 2 3 7 2 2" xfId="8587" xr:uid="{00000000-0005-0000-0000-0000E1170000}"/>
    <cellStyle name="Normal 5 2 2 3 7 2 2 2" xfId="17037" xr:uid="{009401B7-709F-48D2-BEA1-4CCE1892B2E5}"/>
    <cellStyle name="Normal 5 2 2 3 7 2 3" xfId="12819" xr:uid="{1FD1E042-24D4-45EE-A801-F671E1E67E87}"/>
    <cellStyle name="Normal 5 2 2 3 7 3" xfId="6442" xr:uid="{00000000-0005-0000-0000-0000E2170000}"/>
    <cellStyle name="Normal 5 2 2 3 7 3 2" xfId="14892" xr:uid="{D3757F40-115E-4F85-85B4-087E482036E8}"/>
    <cellStyle name="Normal 5 2 2 3 7 4" xfId="10674" xr:uid="{DD958117-09C7-4A4E-9138-43E08EF4247B}"/>
    <cellStyle name="Normal 5 2 2 3 8" xfId="2572" xr:uid="{00000000-0005-0000-0000-0000E3170000}"/>
    <cellStyle name="Normal 5 2 2 3 8 2" xfId="6855" xr:uid="{00000000-0005-0000-0000-0000E4170000}"/>
    <cellStyle name="Normal 5 2 2 3 8 2 2" xfId="15305" xr:uid="{D37ABBC3-7B83-4D4C-8FF7-4D59375B2C6F}"/>
    <cellStyle name="Normal 5 2 2 3 8 3" xfId="11087" xr:uid="{9D132168-88B0-4321-9078-0C91222ABA86}"/>
    <cellStyle name="Normal 5 2 2 3 9" xfId="4790" xr:uid="{00000000-0005-0000-0000-0000E5170000}"/>
    <cellStyle name="Normal 5 2 2 3 9 2" xfId="13240" xr:uid="{C531C874-A449-4423-8AC4-3DDE9FEFF386}"/>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2 2 2" xfId="15803" xr:uid="{BB28D9C0-2EF8-4F4D-9D79-A8D7254F9B80}"/>
    <cellStyle name="Normal 5 2 2 4 2 2 2 3" xfId="11585" xr:uid="{64CD1532-BFD0-42EA-8C76-FDC895B1B1E9}"/>
    <cellStyle name="Normal 5 2 2 4 2 2 3" xfId="5208" xr:uid="{00000000-0005-0000-0000-0000EB170000}"/>
    <cellStyle name="Normal 5 2 2 4 2 2 3 2" xfId="13658" xr:uid="{42D7C717-D02A-473E-A042-1533EB341F59}"/>
    <cellStyle name="Normal 5 2 2 4 2 2 4" xfId="9440" xr:uid="{D80BB9FF-4660-47D3-A901-059E554FC81B}"/>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2 2 2" xfId="16216" xr:uid="{1C82DFC5-8DB5-4350-8797-BC2E07357278}"/>
    <cellStyle name="Normal 5 2 2 4 2 3 2 3" xfId="11998" xr:uid="{3BCA00D4-F0C6-480F-9FCD-A6FFB5C28B2D}"/>
    <cellStyle name="Normal 5 2 2 4 2 3 3" xfId="5621" xr:uid="{00000000-0005-0000-0000-0000EF170000}"/>
    <cellStyle name="Normal 5 2 2 4 2 3 3 2" xfId="14071" xr:uid="{E4871356-F6FD-48DD-8B58-C81EFD3064BF}"/>
    <cellStyle name="Normal 5 2 2 4 2 3 4" xfId="9853" xr:uid="{B4873917-C78B-4A7A-9667-D2E2F234C742}"/>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2 2 2" xfId="16629" xr:uid="{EEB8CAC6-CDB4-4F08-A35A-91F1A6057BF5}"/>
    <cellStyle name="Normal 5 2 2 4 2 4 2 3" xfId="12411" xr:uid="{77859B2B-2672-439A-9096-916E4AF1CD3B}"/>
    <cellStyle name="Normal 5 2 2 4 2 4 3" xfId="6034" xr:uid="{00000000-0005-0000-0000-0000F3170000}"/>
    <cellStyle name="Normal 5 2 2 4 2 4 3 2" xfId="14484" xr:uid="{45AD7DC0-A3E3-407B-8A35-491AC7B6A1C8}"/>
    <cellStyle name="Normal 5 2 2 4 2 4 4" xfId="10266" xr:uid="{F0E30008-43BC-435B-9AF9-FAB6E0A3A202}"/>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2 2 2" xfId="17042" xr:uid="{DDBCD8EF-163E-4AA1-B541-627A5C63E548}"/>
    <cellStyle name="Normal 5 2 2 4 2 5 2 3" xfId="12824" xr:uid="{D483F7B6-358E-4728-831C-862BD7AD3534}"/>
    <cellStyle name="Normal 5 2 2 4 2 5 3" xfId="6447" xr:uid="{00000000-0005-0000-0000-0000F7170000}"/>
    <cellStyle name="Normal 5 2 2 4 2 5 3 2" xfId="14897" xr:uid="{EC27F777-22DE-47EB-B108-99016623FDD0}"/>
    <cellStyle name="Normal 5 2 2 4 2 5 4" xfId="10679" xr:uid="{AC89AEC7-CAAB-4F98-B605-7FF2159F2FB8}"/>
    <cellStyle name="Normal 5 2 2 4 2 6" xfId="2577" xr:uid="{00000000-0005-0000-0000-0000F8170000}"/>
    <cellStyle name="Normal 5 2 2 4 2 6 2" xfId="6860" xr:uid="{00000000-0005-0000-0000-0000F9170000}"/>
    <cellStyle name="Normal 5 2 2 4 2 6 2 2" xfId="15310" xr:uid="{3B504CE5-94F3-411D-9A83-A3EF94E59861}"/>
    <cellStyle name="Normal 5 2 2 4 2 6 3" xfId="11092" xr:uid="{7FA2129A-DD8D-4A2D-AE5F-F9687BE96AEA}"/>
    <cellStyle name="Normal 5 2 2 4 2 7" xfId="4795" xr:uid="{00000000-0005-0000-0000-0000FA170000}"/>
    <cellStyle name="Normal 5 2 2 4 2 7 2" xfId="13245" xr:uid="{579AF805-D057-411B-A29D-D2D436AD62D6}"/>
    <cellStyle name="Normal 5 2 2 4 2 8" xfId="9027" xr:uid="{F879BF43-CC58-4B42-9732-F72F69694768}"/>
    <cellStyle name="Normal 5 2 2 4 3" xfId="895" xr:uid="{00000000-0005-0000-0000-0000FB170000}"/>
    <cellStyle name="Normal 5 2 2 4 3 2" xfId="3130" xr:uid="{00000000-0005-0000-0000-0000FC170000}"/>
    <cellStyle name="Normal 5 2 2 4 3 2 2" xfId="7352" xr:uid="{00000000-0005-0000-0000-0000FD170000}"/>
    <cellStyle name="Normal 5 2 2 4 3 2 2 2" xfId="15802" xr:uid="{022E94E0-7351-41D0-9D94-AC613AE8F093}"/>
    <cellStyle name="Normal 5 2 2 4 3 2 3" xfId="11584" xr:uid="{60C10457-B099-42EA-A45D-83625AD7C341}"/>
    <cellStyle name="Normal 5 2 2 4 3 3" xfId="5207" xr:uid="{00000000-0005-0000-0000-0000FE170000}"/>
    <cellStyle name="Normal 5 2 2 4 3 3 2" xfId="13657" xr:uid="{CA3AD463-E5AE-4E7D-B797-A42D6A5C85D5}"/>
    <cellStyle name="Normal 5 2 2 4 3 4" xfId="9439" xr:uid="{22FE882B-C167-42E4-B355-B029FC0C935E}"/>
    <cellStyle name="Normal 5 2 2 4 4" xfId="1313" xr:uid="{00000000-0005-0000-0000-0000FF170000}"/>
    <cellStyle name="Normal 5 2 2 4 4 2" xfId="3543" xr:uid="{00000000-0005-0000-0000-000000180000}"/>
    <cellStyle name="Normal 5 2 2 4 4 2 2" xfId="7765" xr:uid="{00000000-0005-0000-0000-000001180000}"/>
    <cellStyle name="Normal 5 2 2 4 4 2 2 2" xfId="16215" xr:uid="{4443270F-1CD3-444D-99D2-13E4C7F0274C}"/>
    <cellStyle name="Normal 5 2 2 4 4 2 3" xfId="11997" xr:uid="{B03A7866-93EE-4201-BE1F-504D99F9F8BE}"/>
    <cellStyle name="Normal 5 2 2 4 4 3" xfId="5620" xr:uid="{00000000-0005-0000-0000-000002180000}"/>
    <cellStyle name="Normal 5 2 2 4 4 3 2" xfId="14070" xr:uid="{AB1D96F3-7B72-464C-9130-BBECDBAD1309}"/>
    <cellStyle name="Normal 5 2 2 4 4 4" xfId="9852" xr:uid="{449B3FA9-F27A-47C9-BD38-DB3289D1C3CF}"/>
    <cellStyle name="Normal 5 2 2 4 5" xfId="1726" xr:uid="{00000000-0005-0000-0000-000003180000}"/>
    <cellStyle name="Normal 5 2 2 4 5 2" xfId="3956" xr:uid="{00000000-0005-0000-0000-000004180000}"/>
    <cellStyle name="Normal 5 2 2 4 5 2 2" xfId="8178" xr:uid="{00000000-0005-0000-0000-000005180000}"/>
    <cellStyle name="Normal 5 2 2 4 5 2 2 2" xfId="16628" xr:uid="{3B83EBFD-9C2B-466F-A6D0-AFD7CB97C4E3}"/>
    <cellStyle name="Normal 5 2 2 4 5 2 3" xfId="12410" xr:uid="{8398C239-A712-4242-A6DA-29A73AE6CE60}"/>
    <cellStyle name="Normal 5 2 2 4 5 3" xfId="6033" xr:uid="{00000000-0005-0000-0000-000006180000}"/>
    <cellStyle name="Normal 5 2 2 4 5 3 2" xfId="14483" xr:uid="{11E03947-3DF1-49B8-B35E-24B1CB9D01BD}"/>
    <cellStyle name="Normal 5 2 2 4 5 4" xfId="10265" xr:uid="{C3391B95-4456-49A2-A404-ABDCE77D0C87}"/>
    <cellStyle name="Normal 5 2 2 4 6" xfId="2140" xr:uid="{00000000-0005-0000-0000-000007180000}"/>
    <cellStyle name="Normal 5 2 2 4 6 2" xfId="4369" xr:uid="{00000000-0005-0000-0000-000008180000}"/>
    <cellStyle name="Normal 5 2 2 4 6 2 2" xfId="8591" xr:uid="{00000000-0005-0000-0000-000009180000}"/>
    <cellStyle name="Normal 5 2 2 4 6 2 2 2" xfId="17041" xr:uid="{918BA2F0-E398-4F2E-BA38-7B61B9D025CF}"/>
    <cellStyle name="Normal 5 2 2 4 6 2 3" xfId="12823" xr:uid="{9FEF39FC-E535-4984-9ECD-634FD3177A4D}"/>
    <cellStyle name="Normal 5 2 2 4 6 3" xfId="6446" xr:uid="{00000000-0005-0000-0000-00000A180000}"/>
    <cellStyle name="Normal 5 2 2 4 6 3 2" xfId="14896" xr:uid="{F73E8A6A-60FE-4B16-B116-09D67BE14A8F}"/>
    <cellStyle name="Normal 5 2 2 4 6 4" xfId="10678" xr:uid="{01C2D22D-60CA-4784-B7E7-709C4F0A4E21}"/>
    <cellStyle name="Normal 5 2 2 4 7" xfId="2576" xr:uid="{00000000-0005-0000-0000-00000B180000}"/>
    <cellStyle name="Normal 5 2 2 4 7 2" xfId="6859" xr:uid="{00000000-0005-0000-0000-00000C180000}"/>
    <cellStyle name="Normal 5 2 2 4 7 2 2" xfId="15309" xr:uid="{43C398A1-131C-493F-AA73-A0B8E14005FD}"/>
    <cellStyle name="Normal 5 2 2 4 7 3" xfId="11091" xr:uid="{399B927D-A58B-42C1-9ABB-458A3220AF40}"/>
    <cellStyle name="Normal 5 2 2 4 8" xfId="4794" xr:uid="{00000000-0005-0000-0000-00000D180000}"/>
    <cellStyle name="Normal 5 2 2 4 8 2" xfId="13244" xr:uid="{2193E3D5-5BDE-4C6E-8869-EC51C05BF924}"/>
    <cellStyle name="Normal 5 2 2 4 9" xfId="9026" xr:uid="{989B09A7-1BA1-4ABD-85AF-A461678E0EFF}"/>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2 2 2" xfId="15804" xr:uid="{60CD3848-BFDD-4B89-B238-7F71CF80A51F}"/>
    <cellStyle name="Normal 5 2 2 5 2 2 3" xfId="11586" xr:uid="{48432827-6385-4048-A6AD-D305A248945D}"/>
    <cellStyle name="Normal 5 2 2 5 2 3" xfId="5209" xr:uid="{00000000-0005-0000-0000-000012180000}"/>
    <cellStyle name="Normal 5 2 2 5 2 3 2" xfId="13659" xr:uid="{4ADABC6A-D502-4B52-B20A-5001C7FCD86C}"/>
    <cellStyle name="Normal 5 2 2 5 2 4" xfId="9441" xr:uid="{2E71552E-EA4A-49F5-A2CA-A00B33524EDA}"/>
    <cellStyle name="Normal 5 2 2 5 3" xfId="1315" xr:uid="{00000000-0005-0000-0000-000013180000}"/>
    <cellStyle name="Normal 5 2 2 5 3 2" xfId="3545" xr:uid="{00000000-0005-0000-0000-000014180000}"/>
    <cellStyle name="Normal 5 2 2 5 3 2 2" xfId="7767" xr:uid="{00000000-0005-0000-0000-000015180000}"/>
    <cellStyle name="Normal 5 2 2 5 3 2 2 2" xfId="16217" xr:uid="{F8C0BC57-C1D7-47B9-A03E-9ADD78BEC094}"/>
    <cellStyle name="Normal 5 2 2 5 3 2 3" xfId="11999" xr:uid="{BCBC2A39-3DC7-4446-B769-29172170E3C8}"/>
    <cellStyle name="Normal 5 2 2 5 3 3" xfId="5622" xr:uid="{00000000-0005-0000-0000-000016180000}"/>
    <cellStyle name="Normal 5 2 2 5 3 3 2" xfId="14072" xr:uid="{5993E3B6-B0E6-4E05-8BD0-96EB57940421}"/>
    <cellStyle name="Normal 5 2 2 5 3 4" xfId="9854" xr:uid="{1306818C-951C-42CD-AD9D-5425C7A3615F}"/>
    <cellStyle name="Normal 5 2 2 5 4" xfId="1728" xr:uid="{00000000-0005-0000-0000-000017180000}"/>
    <cellStyle name="Normal 5 2 2 5 4 2" xfId="3958" xr:uid="{00000000-0005-0000-0000-000018180000}"/>
    <cellStyle name="Normal 5 2 2 5 4 2 2" xfId="8180" xr:uid="{00000000-0005-0000-0000-000019180000}"/>
    <cellStyle name="Normal 5 2 2 5 4 2 2 2" xfId="16630" xr:uid="{A9CF9765-18D1-4145-9B77-08229E81E123}"/>
    <cellStyle name="Normal 5 2 2 5 4 2 3" xfId="12412" xr:uid="{CDD4B7FC-C1E0-4A6E-8269-F54D2C63F990}"/>
    <cellStyle name="Normal 5 2 2 5 4 3" xfId="6035" xr:uid="{00000000-0005-0000-0000-00001A180000}"/>
    <cellStyle name="Normal 5 2 2 5 4 3 2" xfId="14485" xr:uid="{88CF3048-AEB7-499B-A3F1-251E58C89ABD}"/>
    <cellStyle name="Normal 5 2 2 5 4 4" xfId="10267" xr:uid="{050ECB2D-762D-408E-BAE2-A9E162F049C3}"/>
    <cellStyle name="Normal 5 2 2 5 5" xfId="2142" xr:uid="{00000000-0005-0000-0000-00001B180000}"/>
    <cellStyle name="Normal 5 2 2 5 5 2" xfId="4371" xr:uid="{00000000-0005-0000-0000-00001C180000}"/>
    <cellStyle name="Normal 5 2 2 5 5 2 2" xfId="8593" xr:uid="{00000000-0005-0000-0000-00001D180000}"/>
    <cellStyle name="Normal 5 2 2 5 5 2 2 2" xfId="17043" xr:uid="{F5A74872-11B3-4F2C-A82D-06AB36FD2A96}"/>
    <cellStyle name="Normal 5 2 2 5 5 2 3" xfId="12825" xr:uid="{0D16ABF3-05D2-49E1-962C-B9E1BA2B9C38}"/>
    <cellStyle name="Normal 5 2 2 5 5 3" xfId="6448" xr:uid="{00000000-0005-0000-0000-00001E180000}"/>
    <cellStyle name="Normal 5 2 2 5 5 3 2" xfId="14898" xr:uid="{E713AE36-AF6C-41A8-87CE-F947BE4423DC}"/>
    <cellStyle name="Normal 5 2 2 5 5 4" xfId="10680" xr:uid="{6481420C-5E14-476E-8179-798D684BC5ED}"/>
    <cellStyle name="Normal 5 2 2 5 6" xfId="2578" xr:uid="{00000000-0005-0000-0000-00001F180000}"/>
    <cellStyle name="Normal 5 2 2 5 6 2" xfId="6861" xr:uid="{00000000-0005-0000-0000-000020180000}"/>
    <cellStyle name="Normal 5 2 2 5 6 2 2" xfId="15311" xr:uid="{704BA20B-76EB-4D7B-B8CC-4F2CD39DB2BE}"/>
    <cellStyle name="Normal 5 2 2 5 6 3" xfId="11093" xr:uid="{36B4E270-5870-4229-8E96-5B08E7CEE592}"/>
    <cellStyle name="Normal 5 2 2 5 7" xfId="4796" xr:uid="{00000000-0005-0000-0000-000021180000}"/>
    <cellStyle name="Normal 5 2 2 5 7 2" xfId="13246" xr:uid="{2A7C0511-C240-40E2-8F33-F05156D293A3}"/>
    <cellStyle name="Normal 5 2 2 5 8" xfId="9028" xr:uid="{849C159D-A0C1-43CA-A2E7-A316880BD0F3}"/>
    <cellStyle name="Normal 5 2 2 6" xfId="882" xr:uid="{00000000-0005-0000-0000-000022180000}"/>
    <cellStyle name="Normal 5 2 2 6 2" xfId="3117" xr:uid="{00000000-0005-0000-0000-000023180000}"/>
    <cellStyle name="Normal 5 2 2 6 2 2" xfId="7339" xr:uid="{00000000-0005-0000-0000-000024180000}"/>
    <cellStyle name="Normal 5 2 2 6 2 2 2" xfId="15789" xr:uid="{ADA6B44A-264B-4606-89D5-BCE5001322C6}"/>
    <cellStyle name="Normal 5 2 2 6 2 3" xfId="11571" xr:uid="{B531691E-78E1-4481-9A44-C88F3EAC64E8}"/>
    <cellStyle name="Normal 5 2 2 6 3" xfId="5194" xr:uid="{00000000-0005-0000-0000-000025180000}"/>
    <cellStyle name="Normal 5 2 2 6 3 2" xfId="13644" xr:uid="{1DE880B2-367E-4E75-B9B2-D9E8FCFCB195}"/>
    <cellStyle name="Normal 5 2 2 6 4" xfId="9426" xr:uid="{ED76306E-C002-471C-A0F1-C6DF381C8795}"/>
    <cellStyle name="Normal 5 2 2 7" xfId="1300" xr:uid="{00000000-0005-0000-0000-000026180000}"/>
    <cellStyle name="Normal 5 2 2 7 2" xfId="3530" xr:uid="{00000000-0005-0000-0000-000027180000}"/>
    <cellStyle name="Normal 5 2 2 7 2 2" xfId="7752" xr:uid="{00000000-0005-0000-0000-000028180000}"/>
    <cellStyle name="Normal 5 2 2 7 2 2 2" xfId="16202" xr:uid="{1A73BAE4-FCD6-485E-AFE7-85F6214485EA}"/>
    <cellStyle name="Normal 5 2 2 7 2 3" xfId="11984" xr:uid="{E6352067-71EC-4016-A138-627BA263BFD8}"/>
    <cellStyle name="Normal 5 2 2 7 3" xfId="5607" xr:uid="{00000000-0005-0000-0000-000029180000}"/>
    <cellStyle name="Normal 5 2 2 7 3 2" xfId="14057" xr:uid="{3F935E42-1B79-49E5-85B8-FBA1A3FFC1C8}"/>
    <cellStyle name="Normal 5 2 2 7 4" xfId="9839" xr:uid="{153EA3A8-F0D0-4A33-A63C-05B7EA10329B}"/>
    <cellStyle name="Normal 5 2 2 8" xfId="1713" xr:uid="{00000000-0005-0000-0000-00002A180000}"/>
    <cellStyle name="Normal 5 2 2 8 2" xfId="3943" xr:uid="{00000000-0005-0000-0000-00002B180000}"/>
    <cellStyle name="Normal 5 2 2 8 2 2" xfId="8165" xr:uid="{00000000-0005-0000-0000-00002C180000}"/>
    <cellStyle name="Normal 5 2 2 8 2 2 2" xfId="16615" xr:uid="{A65E013B-E158-4C80-ADF2-DFF2125F6D31}"/>
    <cellStyle name="Normal 5 2 2 8 2 3" xfId="12397" xr:uid="{F987C594-1237-45F6-BAA2-848C6B85692C}"/>
    <cellStyle name="Normal 5 2 2 8 3" xfId="6020" xr:uid="{00000000-0005-0000-0000-00002D180000}"/>
    <cellStyle name="Normal 5 2 2 8 3 2" xfId="14470" xr:uid="{00768262-2CB9-4C10-B364-4197CB87205B}"/>
    <cellStyle name="Normal 5 2 2 8 4" xfId="10252" xr:uid="{D0C25F95-F387-4513-81DB-5C04D2E824CB}"/>
    <cellStyle name="Normal 5 2 2 9" xfId="2127" xr:uid="{00000000-0005-0000-0000-00002E180000}"/>
    <cellStyle name="Normal 5 2 2 9 2" xfId="4356" xr:uid="{00000000-0005-0000-0000-00002F180000}"/>
    <cellStyle name="Normal 5 2 2 9 2 2" xfId="8578" xr:uid="{00000000-0005-0000-0000-000030180000}"/>
    <cellStyle name="Normal 5 2 2 9 2 2 2" xfId="17028" xr:uid="{B7C221E4-905A-4091-935F-CAE20745B415}"/>
    <cellStyle name="Normal 5 2 2 9 2 3" xfId="12810" xr:uid="{0250B80D-5B9F-45A5-A0A2-CFE13A8D6869}"/>
    <cellStyle name="Normal 5 2 2 9 3" xfId="6433" xr:uid="{00000000-0005-0000-0000-000031180000}"/>
    <cellStyle name="Normal 5 2 2 9 3 2" xfId="14883" xr:uid="{99AA6F57-3DA8-4004-89B6-86E5835977A3}"/>
    <cellStyle name="Normal 5 2 2 9 4" xfId="10665" xr:uid="{A9DF9CE7-1676-4C05-B636-DEAC21CC19DF}"/>
    <cellStyle name="Normal 5 2 3" xfId="424" xr:uid="{00000000-0005-0000-0000-000032180000}"/>
    <cellStyle name="Normal 5 2 3 10" xfId="4797" xr:uid="{00000000-0005-0000-0000-000033180000}"/>
    <cellStyle name="Normal 5 2 3 10 2" xfId="13247" xr:uid="{F4DD1485-9B88-4203-B352-1F68799D32D5}"/>
    <cellStyle name="Normal 5 2 3 11" xfId="9029" xr:uid="{88100AE4-7AF3-4C4C-A413-398AC07F881F}"/>
    <cellStyle name="Normal 5 2 3 2" xfId="425" xr:uid="{00000000-0005-0000-0000-000034180000}"/>
    <cellStyle name="Normal 5 2 3 2 10" xfId="9030" xr:uid="{993AFFFC-5624-49DA-BA71-9AEE936C1D74}"/>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2 2 2" xfId="15808" xr:uid="{F6D154A9-E4C0-4895-82E9-C1332FC52269}"/>
    <cellStyle name="Normal 5 2 3 2 2 2 2 2 3" xfId="11590" xr:uid="{CA70FF0F-2958-4E8F-BD69-F7D025CA0811}"/>
    <cellStyle name="Normal 5 2 3 2 2 2 2 3" xfId="5213" xr:uid="{00000000-0005-0000-0000-00003A180000}"/>
    <cellStyle name="Normal 5 2 3 2 2 2 2 3 2" xfId="13663" xr:uid="{FB6A5D5A-6246-4235-9512-A4FA4F9715EA}"/>
    <cellStyle name="Normal 5 2 3 2 2 2 2 4" xfId="9445" xr:uid="{99E9EF39-C9BE-4662-A85F-7EF96DB90233}"/>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2 2 2" xfId="16221" xr:uid="{03E0DF01-3243-46CA-92CF-86F4F552FED4}"/>
    <cellStyle name="Normal 5 2 3 2 2 2 3 2 3" xfId="12003" xr:uid="{3DF6BB89-9E71-4C09-AB76-B5638A0ADE84}"/>
    <cellStyle name="Normal 5 2 3 2 2 2 3 3" xfId="5626" xr:uid="{00000000-0005-0000-0000-00003E180000}"/>
    <cellStyle name="Normal 5 2 3 2 2 2 3 3 2" xfId="14076" xr:uid="{985C537A-17B2-41D3-98D0-B5DA96ABF3CB}"/>
    <cellStyle name="Normal 5 2 3 2 2 2 3 4" xfId="9858" xr:uid="{8D7D7D19-B547-4C89-8B16-AF860FDFC94D}"/>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2 2 2" xfId="16634" xr:uid="{0B9AED46-DD58-4960-ADCB-34A80A7D5A76}"/>
    <cellStyle name="Normal 5 2 3 2 2 2 4 2 3" xfId="12416" xr:uid="{72473995-0920-415D-BA68-FD9408AE6A11}"/>
    <cellStyle name="Normal 5 2 3 2 2 2 4 3" xfId="6039" xr:uid="{00000000-0005-0000-0000-000042180000}"/>
    <cellStyle name="Normal 5 2 3 2 2 2 4 3 2" xfId="14489" xr:uid="{DD8A58C1-48C2-41D1-A51C-37426EF51FA7}"/>
    <cellStyle name="Normal 5 2 3 2 2 2 4 4" xfId="10271" xr:uid="{506FC5E8-3A7A-4FBE-B6A7-66F51C7679AE}"/>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2 2 2" xfId="17047" xr:uid="{102A8A7E-74A2-487C-A87C-72B7F1B053C3}"/>
    <cellStyle name="Normal 5 2 3 2 2 2 5 2 3" xfId="12829" xr:uid="{5132BD12-B10F-40EF-86D1-A2A32CD30099}"/>
    <cellStyle name="Normal 5 2 3 2 2 2 5 3" xfId="6452" xr:uid="{00000000-0005-0000-0000-000046180000}"/>
    <cellStyle name="Normal 5 2 3 2 2 2 5 3 2" xfId="14902" xr:uid="{B983CED6-11B6-4665-B707-84B30DE9A4A2}"/>
    <cellStyle name="Normal 5 2 3 2 2 2 5 4" xfId="10684" xr:uid="{CAC595A3-1D00-464D-96C0-2D359243CB5D}"/>
    <cellStyle name="Normal 5 2 3 2 2 2 6" xfId="2582" xr:uid="{00000000-0005-0000-0000-000047180000}"/>
    <cellStyle name="Normal 5 2 3 2 2 2 6 2" xfId="6865" xr:uid="{00000000-0005-0000-0000-000048180000}"/>
    <cellStyle name="Normal 5 2 3 2 2 2 6 2 2" xfId="15315" xr:uid="{EC68CB56-4098-47F9-878E-D50214FFF5CF}"/>
    <cellStyle name="Normal 5 2 3 2 2 2 6 3" xfId="11097" xr:uid="{EB2F6A4F-6609-4672-93C7-A2D9B9A690F5}"/>
    <cellStyle name="Normal 5 2 3 2 2 2 7" xfId="4800" xr:uid="{00000000-0005-0000-0000-000049180000}"/>
    <cellStyle name="Normal 5 2 3 2 2 2 7 2" xfId="13250" xr:uid="{B69AE539-7B85-4C22-A23E-06A844F7CD0F}"/>
    <cellStyle name="Normal 5 2 3 2 2 2 8" xfId="9032" xr:uid="{3767C05A-7052-47F4-B251-BC944EE120A3}"/>
    <cellStyle name="Normal 5 2 3 2 2 3" xfId="900" xr:uid="{00000000-0005-0000-0000-00004A180000}"/>
    <cellStyle name="Normal 5 2 3 2 2 3 2" xfId="3135" xr:uid="{00000000-0005-0000-0000-00004B180000}"/>
    <cellStyle name="Normal 5 2 3 2 2 3 2 2" xfId="7357" xr:uid="{00000000-0005-0000-0000-00004C180000}"/>
    <cellStyle name="Normal 5 2 3 2 2 3 2 2 2" xfId="15807" xr:uid="{4C19E626-4837-46E0-8FA8-31165F9AC40B}"/>
    <cellStyle name="Normal 5 2 3 2 2 3 2 3" xfId="11589" xr:uid="{4FB22A4C-72FD-4A72-AD8E-83D2E4165605}"/>
    <cellStyle name="Normal 5 2 3 2 2 3 3" xfId="5212" xr:uid="{00000000-0005-0000-0000-00004D180000}"/>
    <cellStyle name="Normal 5 2 3 2 2 3 3 2" xfId="13662" xr:uid="{C2DAA586-424A-4C29-A564-651DCCFD194E}"/>
    <cellStyle name="Normal 5 2 3 2 2 3 4" xfId="9444" xr:uid="{1A6354A4-F2BF-4885-B14B-DA82739755AC}"/>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2 2 2" xfId="16220" xr:uid="{6C641622-297C-4D07-BFAD-CD7795DF9C80}"/>
    <cellStyle name="Normal 5 2 3 2 2 4 2 3" xfId="12002" xr:uid="{4DCB378A-2FCA-49C8-94EF-C073C398D29A}"/>
    <cellStyle name="Normal 5 2 3 2 2 4 3" xfId="5625" xr:uid="{00000000-0005-0000-0000-000051180000}"/>
    <cellStyle name="Normal 5 2 3 2 2 4 3 2" xfId="14075" xr:uid="{FA53E57F-2D8B-43FC-9B4C-1786D3B177E6}"/>
    <cellStyle name="Normal 5 2 3 2 2 4 4" xfId="9857" xr:uid="{C07A0C03-2FC4-4516-97EC-5493CCA61BE6}"/>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2 2 2" xfId="16633" xr:uid="{ECF1BB19-D425-43E3-BA2B-59AD394A518A}"/>
    <cellStyle name="Normal 5 2 3 2 2 5 2 3" xfId="12415" xr:uid="{7DE6364A-3C60-42C6-AA2D-E7914BD25367}"/>
    <cellStyle name="Normal 5 2 3 2 2 5 3" xfId="6038" xr:uid="{00000000-0005-0000-0000-000055180000}"/>
    <cellStyle name="Normal 5 2 3 2 2 5 3 2" xfId="14488" xr:uid="{ACA8FA12-1C31-49C1-BC8C-CDCCE3E6435D}"/>
    <cellStyle name="Normal 5 2 3 2 2 5 4" xfId="10270" xr:uid="{296E3CEA-5768-4052-9BAF-35C4B4FE2DC6}"/>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2 2 2" xfId="17046" xr:uid="{E5C51913-45AC-4AB0-88A0-E6BDC3FCB3BA}"/>
    <cellStyle name="Normal 5 2 3 2 2 6 2 3" xfId="12828" xr:uid="{0C90C58C-DA2F-49F2-AFE4-72E1CA64D664}"/>
    <cellStyle name="Normal 5 2 3 2 2 6 3" xfId="6451" xr:uid="{00000000-0005-0000-0000-000059180000}"/>
    <cellStyle name="Normal 5 2 3 2 2 6 3 2" xfId="14901" xr:uid="{6FE88123-750C-4812-8A54-670341398822}"/>
    <cellStyle name="Normal 5 2 3 2 2 6 4" xfId="10683" xr:uid="{8897AC1E-0A08-4E26-AA34-14197F7798BB}"/>
    <cellStyle name="Normal 5 2 3 2 2 7" xfId="2581" xr:uid="{00000000-0005-0000-0000-00005A180000}"/>
    <cellStyle name="Normal 5 2 3 2 2 7 2" xfId="6864" xr:uid="{00000000-0005-0000-0000-00005B180000}"/>
    <cellStyle name="Normal 5 2 3 2 2 7 2 2" xfId="15314" xr:uid="{0A164113-D4E4-4911-86AB-3D909A2F0F17}"/>
    <cellStyle name="Normal 5 2 3 2 2 7 3" xfId="11096" xr:uid="{9058E2BB-436B-45CD-8BB1-DD5418B8BB8E}"/>
    <cellStyle name="Normal 5 2 3 2 2 8" xfId="4799" xr:uid="{00000000-0005-0000-0000-00005C180000}"/>
    <cellStyle name="Normal 5 2 3 2 2 8 2" xfId="13249" xr:uid="{6E03E69E-AC84-45F2-9DF9-692665535082}"/>
    <cellStyle name="Normal 5 2 3 2 2 9" xfId="9031" xr:uid="{41CCA7A4-7B14-4D16-873A-C67A4F0B2901}"/>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2 2 2" xfId="15809" xr:uid="{090557F6-976E-4B42-8B2A-95247C2DB44F}"/>
    <cellStyle name="Normal 5 2 3 2 3 2 2 3" xfId="11591" xr:uid="{FB5AB74D-1766-47F0-BA42-CB39A480E26E}"/>
    <cellStyle name="Normal 5 2 3 2 3 2 3" xfId="5214" xr:uid="{00000000-0005-0000-0000-000061180000}"/>
    <cellStyle name="Normal 5 2 3 2 3 2 3 2" xfId="13664" xr:uid="{5FF78145-6688-4C8A-B27D-B4C8A7DC83DB}"/>
    <cellStyle name="Normal 5 2 3 2 3 2 4" xfId="9446" xr:uid="{75ECF6C2-EF7B-4BE8-9AAD-E7660B1DF1C3}"/>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2 2 2" xfId="16222" xr:uid="{E308EB24-44C7-4CFA-BD9A-7006FE61D203}"/>
    <cellStyle name="Normal 5 2 3 2 3 3 2 3" xfId="12004" xr:uid="{5198662C-B3BC-4E59-B4BB-E869E431C412}"/>
    <cellStyle name="Normal 5 2 3 2 3 3 3" xfId="5627" xr:uid="{00000000-0005-0000-0000-000065180000}"/>
    <cellStyle name="Normal 5 2 3 2 3 3 3 2" xfId="14077" xr:uid="{2431EA9D-D55B-411A-9B15-C5BCF8D311EC}"/>
    <cellStyle name="Normal 5 2 3 2 3 3 4" xfId="9859" xr:uid="{0A05F8A6-7511-4D62-A76F-3B97FD67AF8C}"/>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2 2 2" xfId="16635" xr:uid="{CA4F6158-A530-4655-892E-4A54E800055B}"/>
    <cellStyle name="Normal 5 2 3 2 3 4 2 3" xfId="12417" xr:uid="{85B88208-6F3B-4771-8A37-C287EB4A88CB}"/>
    <cellStyle name="Normal 5 2 3 2 3 4 3" xfId="6040" xr:uid="{00000000-0005-0000-0000-000069180000}"/>
    <cellStyle name="Normal 5 2 3 2 3 4 3 2" xfId="14490" xr:uid="{0FCBF593-F1DA-439C-980B-7BC08BB87C52}"/>
    <cellStyle name="Normal 5 2 3 2 3 4 4" xfId="10272" xr:uid="{CBE3A733-A7AD-486A-AB2C-0D054EE49022}"/>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2 2 2" xfId="17048" xr:uid="{343C0EBC-F784-48B0-93EC-DE51B48022EA}"/>
    <cellStyle name="Normal 5 2 3 2 3 5 2 3" xfId="12830" xr:uid="{238BE77C-E9FE-45FD-A03E-39B1D8AA14CC}"/>
    <cellStyle name="Normal 5 2 3 2 3 5 3" xfId="6453" xr:uid="{00000000-0005-0000-0000-00006D180000}"/>
    <cellStyle name="Normal 5 2 3 2 3 5 3 2" xfId="14903" xr:uid="{B4CFD907-D91E-4963-8C57-FA3B4D022DCA}"/>
    <cellStyle name="Normal 5 2 3 2 3 5 4" xfId="10685" xr:uid="{EFBCE3BD-079B-4ADD-8A2F-72D8909DE2E1}"/>
    <cellStyle name="Normal 5 2 3 2 3 6" xfId="2583" xr:uid="{00000000-0005-0000-0000-00006E180000}"/>
    <cellStyle name="Normal 5 2 3 2 3 6 2" xfId="6866" xr:uid="{00000000-0005-0000-0000-00006F180000}"/>
    <cellStyle name="Normal 5 2 3 2 3 6 2 2" xfId="15316" xr:uid="{6B2544E2-52BF-42EB-9A14-B316195E8FA2}"/>
    <cellStyle name="Normal 5 2 3 2 3 6 3" xfId="11098" xr:uid="{41846892-4CF7-4E12-ADA0-8871C9A6245C}"/>
    <cellStyle name="Normal 5 2 3 2 3 7" xfId="4801" xr:uid="{00000000-0005-0000-0000-000070180000}"/>
    <cellStyle name="Normal 5 2 3 2 3 7 2" xfId="13251" xr:uid="{5A0B245D-93F7-483D-A076-A1C25D584D81}"/>
    <cellStyle name="Normal 5 2 3 2 3 8" xfId="9033" xr:uid="{69B1FAE8-8B69-42D2-9AC4-D72868CE24AE}"/>
    <cellStyle name="Normal 5 2 3 2 4" xfId="899" xr:uid="{00000000-0005-0000-0000-000071180000}"/>
    <cellStyle name="Normal 5 2 3 2 4 2" xfId="3134" xr:uid="{00000000-0005-0000-0000-000072180000}"/>
    <cellStyle name="Normal 5 2 3 2 4 2 2" xfId="7356" xr:uid="{00000000-0005-0000-0000-000073180000}"/>
    <cellStyle name="Normal 5 2 3 2 4 2 2 2" xfId="15806" xr:uid="{61B8EA3B-507F-41BF-9B20-ED8D3D0443E8}"/>
    <cellStyle name="Normal 5 2 3 2 4 2 3" xfId="11588" xr:uid="{20E8DC20-CFF8-4DC3-9B4E-C567788ED581}"/>
    <cellStyle name="Normal 5 2 3 2 4 3" xfId="5211" xr:uid="{00000000-0005-0000-0000-000074180000}"/>
    <cellStyle name="Normal 5 2 3 2 4 3 2" xfId="13661" xr:uid="{2C8822F5-088B-42D2-B572-2534B0B8930E}"/>
    <cellStyle name="Normal 5 2 3 2 4 4" xfId="9443" xr:uid="{AF52A18A-9F3F-4CF2-9F09-046E0DD11253}"/>
    <cellStyle name="Normal 5 2 3 2 5" xfId="1317" xr:uid="{00000000-0005-0000-0000-000075180000}"/>
    <cellStyle name="Normal 5 2 3 2 5 2" xfId="3547" xr:uid="{00000000-0005-0000-0000-000076180000}"/>
    <cellStyle name="Normal 5 2 3 2 5 2 2" xfId="7769" xr:uid="{00000000-0005-0000-0000-000077180000}"/>
    <cellStyle name="Normal 5 2 3 2 5 2 2 2" xfId="16219" xr:uid="{EF626FC7-8B4D-4EC6-8B66-DC575973A1D9}"/>
    <cellStyle name="Normal 5 2 3 2 5 2 3" xfId="12001" xr:uid="{0056CEA6-28A8-4F2D-ACE2-7878381789FC}"/>
    <cellStyle name="Normal 5 2 3 2 5 3" xfId="5624" xr:uid="{00000000-0005-0000-0000-000078180000}"/>
    <cellStyle name="Normal 5 2 3 2 5 3 2" xfId="14074" xr:uid="{5DE16BAA-0CB2-491E-AE4C-F028EAF2210D}"/>
    <cellStyle name="Normal 5 2 3 2 5 4" xfId="9856" xr:uid="{FB884CAD-1CC9-4F10-A49C-188B570CFF8B}"/>
    <cellStyle name="Normal 5 2 3 2 6" xfId="1730" xr:uid="{00000000-0005-0000-0000-000079180000}"/>
    <cellStyle name="Normal 5 2 3 2 6 2" xfId="3960" xr:uid="{00000000-0005-0000-0000-00007A180000}"/>
    <cellStyle name="Normal 5 2 3 2 6 2 2" xfId="8182" xr:uid="{00000000-0005-0000-0000-00007B180000}"/>
    <cellStyle name="Normal 5 2 3 2 6 2 2 2" xfId="16632" xr:uid="{F0505EC7-3027-49BA-B6B9-17A107684D02}"/>
    <cellStyle name="Normal 5 2 3 2 6 2 3" xfId="12414" xr:uid="{4E55C57E-C7A4-4F27-A571-D8C856D8A0EE}"/>
    <cellStyle name="Normal 5 2 3 2 6 3" xfId="6037" xr:uid="{00000000-0005-0000-0000-00007C180000}"/>
    <cellStyle name="Normal 5 2 3 2 6 3 2" xfId="14487" xr:uid="{6E6B9058-C433-4691-9F8F-1C4E517F1268}"/>
    <cellStyle name="Normal 5 2 3 2 6 4" xfId="10269" xr:uid="{ED24E571-7B02-43E0-BE6F-EB7D4D0C4FCC}"/>
    <cellStyle name="Normal 5 2 3 2 7" xfId="2144" xr:uid="{00000000-0005-0000-0000-00007D180000}"/>
    <cellStyle name="Normal 5 2 3 2 7 2" xfId="4373" xr:uid="{00000000-0005-0000-0000-00007E180000}"/>
    <cellStyle name="Normal 5 2 3 2 7 2 2" xfId="8595" xr:uid="{00000000-0005-0000-0000-00007F180000}"/>
    <cellStyle name="Normal 5 2 3 2 7 2 2 2" xfId="17045" xr:uid="{AA1C370B-3CC9-4691-B51A-D658148DFFCF}"/>
    <cellStyle name="Normal 5 2 3 2 7 2 3" xfId="12827" xr:uid="{5699F38E-6622-4248-A25C-BA733DE03BA0}"/>
    <cellStyle name="Normal 5 2 3 2 7 3" xfId="6450" xr:uid="{00000000-0005-0000-0000-000080180000}"/>
    <cellStyle name="Normal 5 2 3 2 7 3 2" xfId="14900" xr:uid="{1FB799C5-2013-47DD-9691-CB3CF2CE34F9}"/>
    <cellStyle name="Normal 5 2 3 2 7 4" xfId="10682" xr:uid="{86739A87-F196-4867-8B1E-5BD72BCB9727}"/>
    <cellStyle name="Normal 5 2 3 2 8" xfId="2580" xr:uid="{00000000-0005-0000-0000-000081180000}"/>
    <cellStyle name="Normal 5 2 3 2 8 2" xfId="6863" xr:uid="{00000000-0005-0000-0000-000082180000}"/>
    <cellStyle name="Normal 5 2 3 2 8 2 2" xfId="15313" xr:uid="{A706574C-A51F-4B43-9FA0-4B3B979E494C}"/>
    <cellStyle name="Normal 5 2 3 2 8 3" xfId="11095" xr:uid="{DB2489EE-0F19-4132-994F-AFF8502255E5}"/>
    <cellStyle name="Normal 5 2 3 2 9" xfId="4798" xr:uid="{00000000-0005-0000-0000-000083180000}"/>
    <cellStyle name="Normal 5 2 3 2 9 2" xfId="13248" xr:uid="{C9F6370D-E2AD-4153-87F4-9B7DC852C195}"/>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2 2 2" xfId="15811" xr:uid="{C82A5D81-555F-4FB1-AE81-94BB1F777416}"/>
    <cellStyle name="Normal 5 2 3 3 2 2 2 3" xfId="11593" xr:uid="{9BBA46FE-6B21-4FDF-A0D6-973E47F41C80}"/>
    <cellStyle name="Normal 5 2 3 3 2 2 3" xfId="5216" xr:uid="{00000000-0005-0000-0000-000089180000}"/>
    <cellStyle name="Normal 5 2 3 3 2 2 3 2" xfId="13666" xr:uid="{706A9E87-F1E5-4FBA-BF73-FA6F4CEF3EA4}"/>
    <cellStyle name="Normal 5 2 3 3 2 2 4" xfId="9448" xr:uid="{D81E40FA-1D74-48F3-A1ED-AD0574AA7BA1}"/>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2 2 2" xfId="16224" xr:uid="{4DAC7CF1-AA9E-43E5-B689-4F103E51EAEF}"/>
    <cellStyle name="Normal 5 2 3 3 2 3 2 3" xfId="12006" xr:uid="{D35FC044-A1C2-429A-86CA-33B950720216}"/>
    <cellStyle name="Normal 5 2 3 3 2 3 3" xfId="5629" xr:uid="{00000000-0005-0000-0000-00008D180000}"/>
    <cellStyle name="Normal 5 2 3 3 2 3 3 2" xfId="14079" xr:uid="{B6A4D699-2C9E-43BD-9342-9511D6B566A7}"/>
    <cellStyle name="Normal 5 2 3 3 2 3 4" xfId="9861" xr:uid="{1754729F-9693-4A1A-B0DB-E42238560E18}"/>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2 2 2" xfId="16637" xr:uid="{C70B8016-3119-40E3-8687-3E7D08D357C3}"/>
    <cellStyle name="Normal 5 2 3 3 2 4 2 3" xfId="12419" xr:uid="{A9A2F9D7-41CB-4763-B6A5-476AF8CDF0A5}"/>
    <cellStyle name="Normal 5 2 3 3 2 4 3" xfId="6042" xr:uid="{00000000-0005-0000-0000-000091180000}"/>
    <cellStyle name="Normal 5 2 3 3 2 4 3 2" xfId="14492" xr:uid="{6886DC03-13B9-4683-884F-2DE190C0F71F}"/>
    <cellStyle name="Normal 5 2 3 3 2 4 4" xfId="10274" xr:uid="{F1F90B3D-D824-4E7D-A53C-AAAFBC77288E}"/>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2 2 2" xfId="17050" xr:uid="{2832D0F7-0EFA-40E4-A9B7-23102B6DFDE7}"/>
    <cellStyle name="Normal 5 2 3 3 2 5 2 3" xfId="12832" xr:uid="{BF0A78DF-701F-41EC-8DAF-4638848BA1C6}"/>
    <cellStyle name="Normal 5 2 3 3 2 5 3" xfId="6455" xr:uid="{00000000-0005-0000-0000-000095180000}"/>
    <cellStyle name="Normal 5 2 3 3 2 5 3 2" xfId="14905" xr:uid="{1AD0CDAC-B020-43D0-8723-D6299B0267DC}"/>
    <cellStyle name="Normal 5 2 3 3 2 5 4" xfId="10687" xr:uid="{8B591CD7-5E17-47AE-9D5A-05B4107FA46D}"/>
    <cellStyle name="Normal 5 2 3 3 2 6" xfId="2585" xr:uid="{00000000-0005-0000-0000-000096180000}"/>
    <cellStyle name="Normal 5 2 3 3 2 6 2" xfId="6868" xr:uid="{00000000-0005-0000-0000-000097180000}"/>
    <cellStyle name="Normal 5 2 3 3 2 6 2 2" xfId="15318" xr:uid="{C915282F-ABDF-4842-A7E7-A269DB64BC87}"/>
    <cellStyle name="Normal 5 2 3 3 2 6 3" xfId="11100" xr:uid="{FCA02A82-D46C-4A18-8217-0F845E68FBCA}"/>
    <cellStyle name="Normal 5 2 3 3 2 7" xfId="4803" xr:uid="{00000000-0005-0000-0000-000098180000}"/>
    <cellStyle name="Normal 5 2 3 3 2 7 2" xfId="13253" xr:uid="{1275E3FA-55D2-4744-935D-9A597A48204C}"/>
    <cellStyle name="Normal 5 2 3 3 2 8" xfId="9035" xr:uid="{E7980E37-371D-4DA2-ADE4-208FA239C6DA}"/>
    <cellStyle name="Normal 5 2 3 3 3" xfId="903" xr:uid="{00000000-0005-0000-0000-000099180000}"/>
    <cellStyle name="Normal 5 2 3 3 3 2" xfId="3138" xr:uid="{00000000-0005-0000-0000-00009A180000}"/>
    <cellStyle name="Normal 5 2 3 3 3 2 2" xfId="7360" xr:uid="{00000000-0005-0000-0000-00009B180000}"/>
    <cellStyle name="Normal 5 2 3 3 3 2 2 2" xfId="15810" xr:uid="{4C123C6F-EFB3-4C39-B6A4-99CE14DFA16C}"/>
    <cellStyle name="Normal 5 2 3 3 3 2 3" xfId="11592" xr:uid="{E27A0BC3-4054-4483-9169-7710F5B08421}"/>
    <cellStyle name="Normal 5 2 3 3 3 3" xfId="5215" xr:uid="{00000000-0005-0000-0000-00009C180000}"/>
    <cellStyle name="Normal 5 2 3 3 3 3 2" xfId="13665" xr:uid="{6C186B54-A9BB-4579-A1C6-BBC63D871FA1}"/>
    <cellStyle name="Normal 5 2 3 3 3 4" xfId="9447" xr:uid="{D9A67289-8270-4521-9650-2030647F9385}"/>
    <cellStyle name="Normal 5 2 3 3 4" xfId="1321" xr:uid="{00000000-0005-0000-0000-00009D180000}"/>
    <cellStyle name="Normal 5 2 3 3 4 2" xfId="3551" xr:uid="{00000000-0005-0000-0000-00009E180000}"/>
    <cellStyle name="Normal 5 2 3 3 4 2 2" xfId="7773" xr:uid="{00000000-0005-0000-0000-00009F180000}"/>
    <cellStyle name="Normal 5 2 3 3 4 2 2 2" xfId="16223" xr:uid="{AA875D2A-BDDF-4966-AA8E-BB252A62C4F8}"/>
    <cellStyle name="Normal 5 2 3 3 4 2 3" xfId="12005" xr:uid="{DA213C45-7629-4BBC-B255-5C5B8BF8A83B}"/>
    <cellStyle name="Normal 5 2 3 3 4 3" xfId="5628" xr:uid="{00000000-0005-0000-0000-0000A0180000}"/>
    <cellStyle name="Normal 5 2 3 3 4 3 2" xfId="14078" xr:uid="{85221ACC-5A1B-4B39-B16A-DEAC0B5B0F56}"/>
    <cellStyle name="Normal 5 2 3 3 4 4" xfId="9860" xr:uid="{CDDD92CF-784F-4141-AC52-2AB273DB6BD8}"/>
    <cellStyle name="Normal 5 2 3 3 5" xfId="1734" xr:uid="{00000000-0005-0000-0000-0000A1180000}"/>
    <cellStyle name="Normal 5 2 3 3 5 2" xfId="3964" xr:uid="{00000000-0005-0000-0000-0000A2180000}"/>
    <cellStyle name="Normal 5 2 3 3 5 2 2" xfId="8186" xr:uid="{00000000-0005-0000-0000-0000A3180000}"/>
    <cellStyle name="Normal 5 2 3 3 5 2 2 2" xfId="16636" xr:uid="{B3950256-5480-4E09-AC78-B2CBBE42C1B0}"/>
    <cellStyle name="Normal 5 2 3 3 5 2 3" xfId="12418" xr:uid="{7AF5BFAF-8CBA-45FD-A11D-3839965344A9}"/>
    <cellStyle name="Normal 5 2 3 3 5 3" xfId="6041" xr:uid="{00000000-0005-0000-0000-0000A4180000}"/>
    <cellStyle name="Normal 5 2 3 3 5 3 2" xfId="14491" xr:uid="{5F216C99-2872-4F03-8B72-5E9CAEBC8730}"/>
    <cellStyle name="Normal 5 2 3 3 5 4" xfId="10273" xr:uid="{14B615A9-42AB-41A1-8FBC-102B1C6BCAEE}"/>
    <cellStyle name="Normal 5 2 3 3 6" xfId="2148" xr:uid="{00000000-0005-0000-0000-0000A5180000}"/>
    <cellStyle name="Normal 5 2 3 3 6 2" xfId="4377" xr:uid="{00000000-0005-0000-0000-0000A6180000}"/>
    <cellStyle name="Normal 5 2 3 3 6 2 2" xfId="8599" xr:uid="{00000000-0005-0000-0000-0000A7180000}"/>
    <cellStyle name="Normal 5 2 3 3 6 2 2 2" xfId="17049" xr:uid="{B094ACF0-650F-4218-A413-A13460A7D5B5}"/>
    <cellStyle name="Normal 5 2 3 3 6 2 3" xfId="12831" xr:uid="{1E3E80AF-B99B-49E2-9216-6ACA15B67FA9}"/>
    <cellStyle name="Normal 5 2 3 3 6 3" xfId="6454" xr:uid="{00000000-0005-0000-0000-0000A8180000}"/>
    <cellStyle name="Normal 5 2 3 3 6 3 2" xfId="14904" xr:uid="{C04A735C-ED07-41EA-832D-AE8F4FF4E61E}"/>
    <cellStyle name="Normal 5 2 3 3 6 4" xfId="10686" xr:uid="{65E9A853-C877-4384-806F-E70E2573CBD5}"/>
    <cellStyle name="Normal 5 2 3 3 7" xfId="2584" xr:uid="{00000000-0005-0000-0000-0000A9180000}"/>
    <cellStyle name="Normal 5 2 3 3 7 2" xfId="6867" xr:uid="{00000000-0005-0000-0000-0000AA180000}"/>
    <cellStyle name="Normal 5 2 3 3 7 2 2" xfId="15317" xr:uid="{70EA5AD1-0E37-44BA-9660-F72886D045B4}"/>
    <cellStyle name="Normal 5 2 3 3 7 3" xfId="11099" xr:uid="{BAC7F3BB-BF36-47A2-838B-F9DE66492B54}"/>
    <cellStyle name="Normal 5 2 3 3 8" xfId="4802" xr:uid="{00000000-0005-0000-0000-0000AB180000}"/>
    <cellStyle name="Normal 5 2 3 3 8 2" xfId="13252" xr:uid="{79E969B6-22E9-4C57-8195-86F8043C43BE}"/>
    <cellStyle name="Normal 5 2 3 3 9" xfId="9034" xr:uid="{607AFC90-C4BB-4836-8965-578FE2976752}"/>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2 2 2" xfId="15812" xr:uid="{018C213E-33E3-4B8E-B74D-2F73793015AE}"/>
    <cellStyle name="Normal 5 2 3 4 2 2 3" xfId="11594" xr:uid="{2EFE5F9D-C074-44F8-83C6-D991C49F6E78}"/>
    <cellStyle name="Normal 5 2 3 4 2 3" xfId="5217" xr:uid="{00000000-0005-0000-0000-0000B0180000}"/>
    <cellStyle name="Normal 5 2 3 4 2 3 2" xfId="13667" xr:uid="{0D0FDC19-6A2E-4B6B-9990-F45EF4CA395A}"/>
    <cellStyle name="Normal 5 2 3 4 2 4" xfId="9449" xr:uid="{7F824879-13F2-43B7-8E3E-96E4C60FE0B4}"/>
    <cellStyle name="Normal 5 2 3 4 3" xfId="1323" xr:uid="{00000000-0005-0000-0000-0000B1180000}"/>
    <cellStyle name="Normal 5 2 3 4 3 2" xfId="3553" xr:uid="{00000000-0005-0000-0000-0000B2180000}"/>
    <cellStyle name="Normal 5 2 3 4 3 2 2" xfId="7775" xr:uid="{00000000-0005-0000-0000-0000B3180000}"/>
    <cellStyle name="Normal 5 2 3 4 3 2 2 2" xfId="16225" xr:uid="{1B44A7A0-F1AE-41FC-9531-134003B70C3E}"/>
    <cellStyle name="Normal 5 2 3 4 3 2 3" xfId="12007" xr:uid="{1A46EE3B-F27E-489F-AB47-2954933B0CEF}"/>
    <cellStyle name="Normal 5 2 3 4 3 3" xfId="5630" xr:uid="{00000000-0005-0000-0000-0000B4180000}"/>
    <cellStyle name="Normal 5 2 3 4 3 3 2" xfId="14080" xr:uid="{6B16A243-120E-4079-A85D-6CEA1691CBDE}"/>
    <cellStyle name="Normal 5 2 3 4 3 4" xfId="9862" xr:uid="{5637F4D1-38D6-4C54-9AD5-2F0AD909482D}"/>
    <cellStyle name="Normal 5 2 3 4 4" xfId="1736" xr:uid="{00000000-0005-0000-0000-0000B5180000}"/>
    <cellStyle name="Normal 5 2 3 4 4 2" xfId="3966" xr:uid="{00000000-0005-0000-0000-0000B6180000}"/>
    <cellStyle name="Normal 5 2 3 4 4 2 2" xfId="8188" xr:uid="{00000000-0005-0000-0000-0000B7180000}"/>
    <cellStyle name="Normal 5 2 3 4 4 2 2 2" xfId="16638" xr:uid="{BBA99149-3012-45FB-B595-0FCB77A5034F}"/>
    <cellStyle name="Normal 5 2 3 4 4 2 3" xfId="12420" xr:uid="{2FFA6A83-8312-44E6-A3E9-0A10267067C1}"/>
    <cellStyle name="Normal 5 2 3 4 4 3" xfId="6043" xr:uid="{00000000-0005-0000-0000-0000B8180000}"/>
    <cellStyle name="Normal 5 2 3 4 4 3 2" xfId="14493" xr:uid="{AA937670-DCBB-43C3-AEAC-DB4B774DD73F}"/>
    <cellStyle name="Normal 5 2 3 4 4 4" xfId="10275" xr:uid="{7D749ED7-AEA4-42AC-A00C-F8AADE2A8BBC}"/>
    <cellStyle name="Normal 5 2 3 4 5" xfId="2150" xr:uid="{00000000-0005-0000-0000-0000B9180000}"/>
    <cellStyle name="Normal 5 2 3 4 5 2" xfId="4379" xr:uid="{00000000-0005-0000-0000-0000BA180000}"/>
    <cellStyle name="Normal 5 2 3 4 5 2 2" xfId="8601" xr:uid="{00000000-0005-0000-0000-0000BB180000}"/>
    <cellStyle name="Normal 5 2 3 4 5 2 2 2" xfId="17051" xr:uid="{A0152F8D-E056-454D-9201-EC0384EB3357}"/>
    <cellStyle name="Normal 5 2 3 4 5 2 3" xfId="12833" xr:uid="{9AAF6302-6C71-4BC3-B2A5-3E1453C43D2A}"/>
    <cellStyle name="Normal 5 2 3 4 5 3" xfId="6456" xr:uid="{00000000-0005-0000-0000-0000BC180000}"/>
    <cellStyle name="Normal 5 2 3 4 5 3 2" xfId="14906" xr:uid="{E7C62E77-24D8-4FDB-A9FF-CCB5893A2588}"/>
    <cellStyle name="Normal 5 2 3 4 5 4" xfId="10688" xr:uid="{9CFBBA82-6971-4202-AAE5-4B577CA61022}"/>
    <cellStyle name="Normal 5 2 3 4 6" xfId="2586" xr:uid="{00000000-0005-0000-0000-0000BD180000}"/>
    <cellStyle name="Normal 5 2 3 4 6 2" xfId="6869" xr:uid="{00000000-0005-0000-0000-0000BE180000}"/>
    <cellStyle name="Normal 5 2 3 4 6 2 2" xfId="15319" xr:uid="{25ABBF5E-4BE8-4A72-8E1F-1ADF1419CDFF}"/>
    <cellStyle name="Normal 5 2 3 4 6 3" xfId="11101" xr:uid="{55E68262-E3CB-4C94-BF1E-99E8357B50FD}"/>
    <cellStyle name="Normal 5 2 3 4 7" xfId="4804" xr:uid="{00000000-0005-0000-0000-0000BF180000}"/>
    <cellStyle name="Normal 5 2 3 4 7 2" xfId="13254" xr:uid="{1F1851DE-6BAF-44DA-8B18-C40E0E75C085}"/>
    <cellStyle name="Normal 5 2 3 4 8" xfId="9036" xr:uid="{EEF5F430-82F0-4B57-BFBA-313978FD3662}"/>
    <cellStyle name="Normal 5 2 3 5" xfId="898" xr:uid="{00000000-0005-0000-0000-0000C0180000}"/>
    <cellStyle name="Normal 5 2 3 5 2" xfId="3133" xr:uid="{00000000-0005-0000-0000-0000C1180000}"/>
    <cellStyle name="Normal 5 2 3 5 2 2" xfId="7355" xr:uid="{00000000-0005-0000-0000-0000C2180000}"/>
    <cellStyle name="Normal 5 2 3 5 2 2 2" xfId="15805" xr:uid="{FAC17556-E8D5-4741-A89D-968E02D18774}"/>
    <cellStyle name="Normal 5 2 3 5 2 3" xfId="11587" xr:uid="{E00B63F1-AAC6-490A-8A52-F113D01CCA95}"/>
    <cellStyle name="Normal 5 2 3 5 3" xfId="5210" xr:uid="{00000000-0005-0000-0000-0000C3180000}"/>
    <cellStyle name="Normal 5 2 3 5 3 2" xfId="13660" xr:uid="{7F6114DF-CDAA-4E1B-86B3-CB1F67285399}"/>
    <cellStyle name="Normal 5 2 3 5 4" xfId="9442" xr:uid="{BD10DC4A-E269-4FE0-B2FE-A4E4E383F9A6}"/>
    <cellStyle name="Normal 5 2 3 6" xfId="1316" xr:uid="{00000000-0005-0000-0000-0000C4180000}"/>
    <cellStyle name="Normal 5 2 3 6 2" xfId="3546" xr:uid="{00000000-0005-0000-0000-0000C5180000}"/>
    <cellStyle name="Normal 5 2 3 6 2 2" xfId="7768" xr:uid="{00000000-0005-0000-0000-0000C6180000}"/>
    <cellStyle name="Normal 5 2 3 6 2 2 2" xfId="16218" xr:uid="{6F53A5A9-7BEB-4737-96A9-8DDD140D1F79}"/>
    <cellStyle name="Normal 5 2 3 6 2 3" xfId="12000" xr:uid="{276EAD0B-4183-4F59-9ADB-DF2EF8C15F11}"/>
    <cellStyle name="Normal 5 2 3 6 3" xfId="5623" xr:uid="{00000000-0005-0000-0000-0000C7180000}"/>
    <cellStyle name="Normal 5 2 3 6 3 2" xfId="14073" xr:uid="{96EFAB4B-3991-44D6-BBDB-64E598F1259B}"/>
    <cellStyle name="Normal 5 2 3 6 4" xfId="9855" xr:uid="{F4DBC84F-3401-437D-A307-9553AF558082}"/>
    <cellStyle name="Normal 5 2 3 7" xfId="1729" xr:uid="{00000000-0005-0000-0000-0000C8180000}"/>
    <cellStyle name="Normal 5 2 3 7 2" xfId="3959" xr:uid="{00000000-0005-0000-0000-0000C9180000}"/>
    <cellStyle name="Normal 5 2 3 7 2 2" xfId="8181" xr:uid="{00000000-0005-0000-0000-0000CA180000}"/>
    <cellStyle name="Normal 5 2 3 7 2 2 2" xfId="16631" xr:uid="{782D7B43-E462-40EC-A8FF-748CC0E83F3E}"/>
    <cellStyle name="Normal 5 2 3 7 2 3" xfId="12413" xr:uid="{9F3DD08A-BC92-4959-96AD-7195C3E84955}"/>
    <cellStyle name="Normal 5 2 3 7 3" xfId="6036" xr:uid="{00000000-0005-0000-0000-0000CB180000}"/>
    <cellStyle name="Normal 5 2 3 7 3 2" xfId="14486" xr:uid="{6E9E1A75-17E4-4909-B4AB-BC500EBE682E}"/>
    <cellStyle name="Normal 5 2 3 7 4" xfId="10268" xr:uid="{242A843C-9E08-4219-B18E-E11134850458}"/>
    <cellStyle name="Normal 5 2 3 8" xfId="2143" xr:uid="{00000000-0005-0000-0000-0000CC180000}"/>
    <cellStyle name="Normal 5 2 3 8 2" xfId="4372" xr:uid="{00000000-0005-0000-0000-0000CD180000}"/>
    <cellStyle name="Normal 5 2 3 8 2 2" xfId="8594" xr:uid="{00000000-0005-0000-0000-0000CE180000}"/>
    <cellStyle name="Normal 5 2 3 8 2 2 2" xfId="17044" xr:uid="{03F5AC66-477F-41D5-8510-6F6D2D43ED7A}"/>
    <cellStyle name="Normal 5 2 3 8 2 3" xfId="12826" xr:uid="{7AE8F209-BB0A-4B62-9DE0-BE73DDF4791A}"/>
    <cellStyle name="Normal 5 2 3 8 3" xfId="6449" xr:uid="{00000000-0005-0000-0000-0000CF180000}"/>
    <cellStyle name="Normal 5 2 3 8 3 2" xfId="14899" xr:uid="{7144B170-2278-45B6-950E-80FA82C8BD8A}"/>
    <cellStyle name="Normal 5 2 3 8 4" xfId="10681" xr:uid="{69CE9ECA-0D3D-41B7-9090-02F282155C0F}"/>
    <cellStyle name="Normal 5 2 3 9" xfId="2579" xr:uid="{00000000-0005-0000-0000-0000D0180000}"/>
    <cellStyle name="Normal 5 2 3 9 2" xfId="6862" xr:uid="{00000000-0005-0000-0000-0000D1180000}"/>
    <cellStyle name="Normal 5 2 3 9 2 2" xfId="15312" xr:uid="{BEC4E595-8F36-4DE2-A74B-EAD9990A30FB}"/>
    <cellStyle name="Normal 5 2 3 9 3" xfId="11094" xr:uid="{F10685A6-1F3C-4435-A826-16FA3B8B3909}"/>
    <cellStyle name="Normal 5 2 4" xfId="432" xr:uid="{00000000-0005-0000-0000-0000D2180000}"/>
    <cellStyle name="Normal 5 2 4 10" xfId="9037" xr:uid="{E2AD13BA-5B77-4DAD-A47A-C91732BB52C5}"/>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2 2 2" xfId="15815" xr:uid="{1FED34EE-1BA6-43BE-9469-3BB0CEBD52C1}"/>
    <cellStyle name="Normal 5 2 4 2 2 2 2 3" xfId="11597" xr:uid="{BC6377DB-B168-47B9-B220-2456EA7E4FEF}"/>
    <cellStyle name="Normal 5 2 4 2 2 2 3" xfId="5220" xr:uid="{00000000-0005-0000-0000-0000D8180000}"/>
    <cellStyle name="Normal 5 2 4 2 2 2 3 2" xfId="13670" xr:uid="{C9445958-0193-498C-82E1-A847388AF000}"/>
    <cellStyle name="Normal 5 2 4 2 2 2 4" xfId="9452" xr:uid="{D0CEDA17-AE01-4767-9F4D-CB93B66D1C19}"/>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2 2 2" xfId="16228" xr:uid="{5F36C2CD-B969-4948-B309-037D1033FD6A}"/>
    <cellStyle name="Normal 5 2 4 2 2 3 2 3" xfId="12010" xr:uid="{9AA7409C-454E-46C7-A1DF-3243354D38FA}"/>
    <cellStyle name="Normal 5 2 4 2 2 3 3" xfId="5633" xr:uid="{00000000-0005-0000-0000-0000DC180000}"/>
    <cellStyle name="Normal 5 2 4 2 2 3 3 2" xfId="14083" xr:uid="{464D8EDB-979A-4DBF-BB85-CCAF925D1AF9}"/>
    <cellStyle name="Normal 5 2 4 2 2 3 4" xfId="9865" xr:uid="{AAD5564B-445C-4612-86F4-834BE344CEE9}"/>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2 2 2" xfId="16641" xr:uid="{5A5E5DF6-9ABC-435B-ADE9-F33136F36FAA}"/>
    <cellStyle name="Normal 5 2 4 2 2 4 2 3" xfId="12423" xr:uid="{3EDAFCF6-AF21-42F7-8145-43EE864600FE}"/>
    <cellStyle name="Normal 5 2 4 2 2 4 3" xfId="6046" xr:uid="{00000000-0005-0000-0000-0000E0180000}"/>
    <cellStyle name="Normal 5 2 4 2 2 4 3 2" xfId="14496" xr:uid="{BA383664-EAED-48A6-A730-825E83204E42}"/>
    <cellStyle name="Normal 5 2 4 2 2 4 4" xfId="10278" xr:uid="{96D118BB-E617-41D9-AB1E-AAA08168E0CF}"/>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2 2 2" xfId="17054" xr:uid="{3827B02F-401F-4914-9504-7080898E94F9}"/>
    <cellStyle name="Normal 5 2 4 2 2 5 2 3" xfId="12836" xr:uid="{69731A22-017C-4384-93B7-00DD8556EFC3}"/>
    <cellStyle name="Normal 5 2 4 2 2 5 3" xfId="6459" xr:uid="{00000000-0005-0000-0000-0000E4180000}"/>
    <cellStyle name="Normal 5 2 4 2 2 5 3 2" xfId="14909" xr:uid="{29DEED44-9BB1-4FE9-B05D-42A8A3148699}"/>
    <cellStyle name="Normal 5 2 4 2 2 5 4" xfId="10691" xr:uid="{9B029DF0-29B3-4774-A65E-A6F3EF391D40}"/>
    <cellStyle name="Normal 5 2 4 2 2 6" xfId="2589" xr:uid="{00000000-0005-0000-0000-0000E5180000}"/>
    <cellStyle name="Normal 5 2 4 2 2 6 2" xfId="6872" xr:uid="{00000000-0005-0000-0000-0000E6180000}"/>
    <cellStyle name="Normal 5 2 4 2 2 6 2 2" xfId="15322" xr:uid="{266F7D41-E68F-4C70-AC16-E0FEAF5B4D1B}"/>
    <cellStyle name="Normal 5 2 4 2 2 6 3" xfId="11104" xr:uid="{6AA3863F-EECF-4D98-82E5-CAD5E1D79484}"/>
    <cellStyle name="Normal 5 2 4 2 2 7" xfId="4807" xr:uid="{00000000-0005-0000-0000-0000E7180000}"/>
    <cellStyle name="Normal 5 2 4 2 2 7 2" xfId="13257" xr:uid="{FE002EF2-1E4D-4C42-94EE-9A9530BD55E9}"/>
    <cellStyle name="Normal 5 2 4 2 2 8" xfId="9039" xr:uid="{FFC54F00-DC0D-4644-BF04-11372694AB60}"/>
    <cellStyle name="Normal 5 2 4 2 3" xfId="907" xr:uid="{00000000-0005-0000-0000-0000E8180000}"/>
    <cellStyle name="Normal 5 2 4 2 3 2" xfId="3142" xr:uid="{00000000-0005-0000-0000-0000E9180000}"/>
    <cellStyle name="Normal 5 2 4 2 3 2 2" xfId="7364" xr:uid="{00000000-0005-0000-0000-0000EA180000}"/>
    <cellStyle name="Normal 5 2 4 2 3 2 2 2" xfId="15814" xr:uid="{10C54385-4C15-47A9-9F18-A25CB6B68852}"/>
    <cellStyle name="Normal 5 2 4 2 3 2 3" xfId="11596" xr:uid="{9E0B32AC-F3AF-4FD8-B035-5A5D6E7DDFEA}"/>
    <cellStyle name="Normal 5 2 4 2 3 3" xfId="5219" xr:uid="{00000000-0005-0000-0000-0000EB180000}"/>
    <cellStyle name="Normal 5 2 4 2 3 3 2" xfId="13669" xr:uid="{C4F8BF43-3368-47AE-9F6F-8284F6424EFC}"/>
    <cellStyle name="Normal 5 2 4 2 3 4" xfId="9451" xr:uid="{A105C3EB-923E-45B2-805B-11429AF11653}"/>
    <cellStyle name="Normal 5 2 4 2 4" xfId="1325" xr:uid="{00000000-0005-0000-0000-0000EC180000}"/>
    <cellStyle name="Normal 5 2 4 2 4 2" xfId="3555" xr:uid="{00000000-0005-0000-0000-0000ED180000}"/>
    <cellStyle name="Normal 5 2 4 2 4 2 2" xfId="7777" xr:uid="{00000000-0005-0000-0000-0000EE180000}"/>
    <cellStyle name="Normal 5 2 4 2 4 2 2 2" xfId="16227" xr:uid="{EF80763C-6082-40B8-B764-40CD09BF6B29}"/>
    <cellStyle name="Normal 5 2 4 2 4 2 3" xfId="12009" xr:uid="{921A8DA9-EA39-4808-8090-BD7A2ECE4E7D}"/>
    <cellStyle name="Normal 5 2 4 2 4 3" xfId="5632" xr:uid="{00000000-0005-0000-0000-0000EF180000}"/>
    <cellStyle name="Normal 5 2 4 2 4 3 2" xfId="14082" xr:uid="{C7B14A44-1119-41EA-BE44-A37D87212507}"/>
    <cellStyle name="Normal 5 2 4 2 4 4" xfId="9864" xr:uid="{0BB0D0C9-3489-4F0E-BDDB-2E5A4BC8000C}"/>
    <cellStyle name="Normal 5 2 4 2 5" xfId="1738" xr:uid="{00000000-0005-0000-0000-0000F0180000}"/>
    <cellStyle name="Normal 5 2 4 2 5 2" xfId="3968" xr:uid="{00000000-0005-0000-0000-0000F1180000}"/>
    <cellStyle name="Normal 5 2 4 2 5 2 2" xfId="8190" xr:uid="{00000000-0005-0000-0000-0000F2180000}"/>
    <cellStyle name="Normal 5 2 4 2 5 2 2 2" xfId="16640" xr:uid="{B98ED4B8-8276-4043-8D74-76D7CA651BC5}"/>
    <cellStyle name="Normal 5 2 4 2 5 2 3" xfId="12422" xr:uid="{441B22BF-3184-458E-8E56-C1E34AD82F4E}"/>
    <cellStyle name="Normal 5 2 4 2 5 3" xfId="6045" xr:uid="{00000000-0005-0000-0000-0000F3180000}"/>
    <cellStyle name="Normal 5 2 4 2 5 3 2" xfId="14495" xr:uid="{A31C716A-57B6-4418-81FF-D65D82956C56}"/>
    <cellStyle name="Normal 5 2 4 2 5 4" xfId="10277" xr:uid="{5794B7B0-3882-4D9C-8E1C-E9E17B43A523}"/>
    <cellStyle name="Normal 5 2 4 2 6" xfId="2152" xr:uid="{00000000-0005-0000-0000-0000F4180000}"/>
    <cellStyle name="Normal 5 2 4 2 6 2" xfId="4381" xr:uid="{00000000-0005-0000-0000-0000F5180000}"/>
    <cellStyle name="Normal 5 2 4 2 6 2 2" xfId="8603" xr:uid="{00000000-0005-0000-0000-0000F6180000}"/>
    <cellStyle name="Normal 5 2 4 2 6 2 2 2" xfId="17053" xr:uid="{9D7C6E67-BA08-4E70-BF8D-C41CF94F3F85}"/>
    <cellStyle name="Normal 5 2 4 2 6 2 3" xfId="12835" xr:uid="{29AB4A8F-930C-4B1F-B89C-679DA6A1DF22}"/>
    <cellStyle name="Normal 5 2 4 2 6 3" xfId="6458" xr:uid="{00000000-0005-0000-0000-0000F7180000}"/>
    <cellStyle name="Normal 5 2 4 2 6 3 2" xfId="14908" xr:uid="{DB6A2649-AD6E-48B7-9249-2FF73299CCFD}"/>
    <cellStyle name="Normal 5 2 4 2 6 4" xfId="10690" xr:uid="{B3669FE7-940D-4D6F-B6CA-BE6CDA665EB4}"/>
    <cellStyle name="Normal 5 2 4 2 7" xfId="2588" xr:uid="{00000000-0005-0000-0000-0000F8180000}"/>
    <cellStyle name="Normal 5 2 4 2 7 2" xfId="6871" xr:uid="{00000000-0005-0000-0000-0000F9180000}"/>
    <cellStyle name="Normal 5 2 4 2 7 2 2" xfId="15321" xr:uid="{C4BBC335-43C0-45C9-9B12-B3E1E13E9737}"/>
    <cellStyle name="Normal 5 2 4 2 7 3" xfId="11103" xr:uid="{9517E3CF-AFCA-4849-AE26-FD3F345515FA}"/>
    <cellStyle name="Normal 5 2 4 2 8" xfId="4806" xr:uid="{00000000-0005-0000-0000-0000FA180000}"/>
    <cellStyle name="Normal 5 2 4 2 8 2" xfId="13256" xr:uid="{FEA13025-8885-41B8-844A-EA54807DD81F}"/>
    <cellStyle name="Normal 5 2 4 2 9" xfId="9038" xr:uid="{011BA032-4634-495E-AC64-906026409109}"/>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2 2 2" xfId="15816" xr:uid="{F39484D5-E8C2-41B2-A7AA-15DA1523167E}"/>
    <cellStyle name="Normal 5 2 4 3 2 2 3" xfId="11598" xr:uid="{924282BC-17F1-40BD-873C-A1617A96D5BA}"/>
    <cellStyle name="Normal 5 2 4 3 2 3" xfId="5221" xr:uid="{00000000-0005-0000-0000-0000FF180000}"/>
    <cellStyle name="Normal 5 2 4 3 2 3 2" xfId="13671" xr:uid="{0EAC6D36-DD2C-4D94-9591-B6A90E1FE59C}"/>
    <cellStyle name="Normal 5 2 4 3 2 4" xfId="9453" xr:uid="{661B56D7-B7FE-4403-9DB0-917C4DC73B32}"/>
    <cellStyle name="Normal 5 2 4 3 3" xfId="1327" xr:uid="{00000000-0005-0000-0000-000000190000}"/>
    <cellStyle name="Normal 5 2 4 3 3 2" xfId="3557" xr:uid="{00000000-0005-0000-0000-000001190000}"/>
    <cellStyle name="Normal 5 2 4 3 3 2 2" xfId="7779" xr:uid="{00000000-0005-0000-0000-000002190000}"/>
    <cellStyle name="Normal 5 2 4 3 3 2 2 2" xfId="16229" xr:uid="{9DDD7D17-9A4C-4C9D-88B7-B0A6D6C73643}"/>
    <cellStyle name="Normal 5 2 4 3 3 2 3" xfId="12011" xr:uid="{122871D0-720F-41C6-B77B-4E79C3F4C080}"/>
    <cellStyle name="Normal 5 2 4 3 3 3" xfId="5634" xr:uid="{00000000-0005-0000-0000-000003190000}"/>
    <cellStyle name="Normal 5 2 4 3 3 3 2" xfId="14084" xr:uid="{D6921C75-EA6C-48B9-8BEA-D5D19E0E8AD8}"/>
    <cellStyle name="Normal 5 2 4 3 3 4" xfId="9866" xr:uid="{218001C7-7807-4DDE-AE28-04FFAB8D124B}"/>
    <cellStyle name="Normal 5 2 4 3 4" xfId="1740" xr:uid="{00000000-0005-0000-0000-000004190000}"/>
    <cellStyle name="Normal 5 2 4 3 4 2" xfId="3970" xr:uid="{00000000-0005-0000-0000-000005190000}"/>
    <cellStyle name="Normal 5 2 4 3 4 2 2" xfId="8192" xr:uid="{00000000-0005-0000-0000-000006190000}"/>
    <cellStyle name="Normal 5 2 4 3 4 2 2 2" xfId="16642" xr:uid="{22FF8532-FAF7-45AB-8C15-466AB2EF2B9C}"/>
    <cellStyle name="Normal 5 2 4 3 4 2 3" xfId="12424" xr:uid="{AB1743E6-096E-4049-B00B-7F12D1C6C4A8}"/>
    <cellStyle name="Normal 5 2 4 3 4 3" xfId="6047" xr:uid="{00000000-0005-0000-0000-000007190000}"/>
    <cellStyle name="Normal 5 2 4 3 4 3 2" xfId="14497" xr:uid="{7E2012D2-E20E-4D22-8E84-D66607DB45B6}"/>
    <cellStyle name="Normal 5 2 4 3 4 4" xfId="10279" xr:uid="{D20F94D1-EA39-460B-91C2-6C044397203A}"/>
    <cellStyle name="Normal 5 2 4 3 5" xfId="2154" xr:uid="{00000000-0005-0000-0000-000008190000}"/>
    <cellStyle name="Normal 5 2 4 3 5 2" xfId="4383" xr:uid="{00000000-0005-0000-0000-000009190000}"/>
    <cellStyle name="Normal 5 2 4 3 5 2 2" xfId="8605" xr:uid="{00000000-0005-0000-0000-00000A190000}"/>
    <cellStyle name="Normal 5 2 4 3 5 2 2 2" xfId="17055" xr:uid="{28871086-705F-4AAC-AFD7-FD0D5F2A2A43}"/>
    <cellStyle name="Normal 5 2 4 3 5 2 3" xfId="12837" xr:uid="{A55B5F8B-D3E7-424F-B20D-780BCDD37856}"/>
    <cellStyle name="Normal 5 2 4 3 5 3" xfId="6460" xr:uid="{00000000-0005-0000-0000-00000B190000}"/>
    <cellStyle name="Normal 5 2 4 3 5 3 2" xfId="14910" xr:uid="{9EFE942B-2629-48CA-9EB8-DD78C33624C1}"/>
    <cellStyle name="Normal 5 2 4 3 5 4" xfId="10692" xr:uid="{AB6F48B9-53E8-428D-B7D5-9A7CD32E474C}"/>
    <cellStyle name="Normal 5 2 4 3 6" xfId="2590" xr:uid="{00000000-0005-0000-0000-00000C190000}"/>
    <cellStyle name="Normal 5 2 4 3 6 2" xfId="6873" xr:uid="{00000000-0005-0000-0000-00000D190000}"/>
    <cellStyle name="Normal 5 2 4 3 6 2 2" xfId="15323" xr:uid="{6CC3FE8D-7F90-498A-BC87-E8AAE2B67235}"/>
    <cellStyle name="Normal 5 2 4 3 6 3" xfId="11105" xr:uid="{2A62ED8A-DF47-4277-B378-854DD1E210C1}"/>
    <cellStyle name="Normal 5 2 4 3 7" xfId="4808" xr:uid="{00000000-0005-0000-0000-00000E190000}"/>
    <cellStyle name="Normal 5 2 4 3 7 2" xfId="13258" xr:uid="{0090B820-10C6-4C3C-8611-E752D8A6CE8B}"/>
    <cellStyle name="Normal 5 2 4 3 8" xfId="9040" xr:uid="{8809C45C-5640-4EA3-91A0-D935AA41A3C2}"/>
    <cellStyle name="Normal 5 2 4 4" xfId="906" xr:uid="{00000000-0005-0000-0000-00000F190000}"/>
    <cellStyle name="Normal 5 2 4 4 2" xfId="3141" xr:uid="{00000000-0005-0000-0000-000010190000}"/>
    <cellStyle name="Normal 5 2 4 4 2 2" xfId="7363" xr:uid="{00000000-0005-0000-0000-000011190000}"/>
    <cellStyle name="Normal 5 2 4 4 2 2 2" xfId="15813" xr:uid="{C86AEF93-1119-407A-8A19-AA4B4B651071}"/>
    <cellStyle name="Normal 5 2 4 4 2 3" xfId="11595" xr:uid="{EB64497A-E9EB-49F5-8FF5-5D1EEC0920A7}"/>
    <cellStyle name="Normal 5 2 4 4 3" xfId="5218" xr:uid="{00000000-0005-0000-0000-000012190000}"/>
    <cellStyle name="Normal 5 2 4 4 3 2" xfId="13668" xr:uid="{2B5842C8-65F4-4240-960F-8D55BF71795E}"/>
    <cellStyle name="Normal 5 2 4 4 4" xfId="9450" xr:uid="{75196356-C308-4B90-A7E4-8625640A658A}"/>
    <cellStyle name="Normal 5 2 4 5" xfId="1324" xr:uid="{00000000-0005-0000-0000-000013190000}"/>
    <cellStyle name="Normal 5 2 4 5 2" xfId="3554" xr:uid="{00000000-0005-0000-0000-000014190000}"/>
    <cellStyle name="Normal 5 2 4 5 2 2" xfId="7776" xr:uid="{00000000-0005-0000-0000-000015190000}"/>
    <cellStyle name="Normal 5 2 4 5 2 2 2" xfId="16226" xr:uid="{DBE2D80A-5BDC-4399-8CA2-4599FDBCB5D9}"/>
    <cellStyle name="Normal 5 2 4 5 2 3" xfId="12008" xr:uid="{47A3864A-6C51-443F-AFA1-19B2CC17B1FE}"/>
    <cellStyle name="Normal 5 2 4 5 3" xfId="5631" xr:uid="{00000000-0005-0000-0000-000016190000}"/>
    <cellStyle name="Normal 5 2 4 5 3 2" xfId="14081" xr:uid="{7CB5779E-1053-468E-89DD-A64AE1CB60CE}"/>
    <cellStyle name="Normal 5 2 4 5 4" xfId="9863" xr:uid="{EECA07A1-D670-4E24-AAFD-3E3C1808E8D3}"/>
    <cellStyle name="Normal 5 2 4 6" xfId="1737" xr:uid="{00000000-0005-0000-0000-000017190000}"/>
    <cellStyle name="Normal 5 2 4 6 2" xfId="3967" xr:uid="{00000000-0005-0000-0000-000018190000}"/>
    <cellStyle name="Normal 5 2 4 6 2 2" xfId="8189" xr:uid="{00000000-0005-0000-0000-000019190000}"/>
    <cellStyle name="Normal 5 2 4 6 2 2 2" xfId="16639" xr:uid="{6BF791D3-E04E-46E3-8C00-98E76E1805A3}"/>
    <cellStyle name="Normal 5 2 4 6 2 3" xfId="12421" xr:uid="{CCD2DDD0-6172-4835-B66E-F1333758366F}"/>
    <cellStyle name="Normal 5 2 4 6 3" xfId="6044" xr:uid="{00000000-0005-0000-0000-00001A190000}"/>
    <cellStyle name="Normal 5 2 4 6 3 2" xfId="14494" xr:uid="{D54CEA3A-31D4-4E5E-A571-6FDD850655BF}"/>
    <cellStyle name="Normal 5 2 4 6 4" xfId="10276" xr:uid="{14EF0785-49BD-492F-9FE4-EAE3DEF7A47C}"/>
    <cellStyle name="Normal 5 2 4 7" xfId="2151" xr:uid="{00000000-0005-0000-0000-00001B190000}"/>
    <cellStyle name="Normal 5 2 4 7 2" xfId="4380" xr:uid="{00000000-0005-0000-0000-00001C190000}"/>
    <cellStyle name="Normal 5 2 4 7 2 2" xfId="8602" xr:uid="{00000000-0005-0000-0000-00001D190000}"/>
    <cellStyle name="Normal 5 2 4 7 2 2 2" xfId="17052" xr:uid="{5DCC0B6E-6804-4786-ABD7-CEBF58E82DB7}"/>
    <cellStyle name="Normal 5 2 4 7 2 3" xfId="12834" xr:uid="{53179BAA-E7CC-4EAE-B1F9-0761FE19A2E2}"/>
    <cellStyle name="Normal 5 2 4 7 3" xfId="6457" xr:uid="{00000000-0005-0000-0000-00001E190000}"/>
    <cellStyle name="Normal 5 2 4 7 3 2" xfId="14907" xr:uid="{852886CC-7638-4073-9A94-38694E00A995}"/>
    <cellStyle name="Normal 5 2 4 7 4" xfId="10689" xr:uid="{C75AB40B-5E01-48D8-BF18-D198B64B1092}"/>
    <cellStyle name="Normal 5 2 4 8" xfId="2587" xr:uid="{00000000-0005-0000-0000-00001F190000}"/>
    <cellStyle name="Normal 5 2 4 8 2" xfId="6870" xr:uid="{00000000-0005-0000-0000-000020190000}"/>
    <cellStyle name="Normal 5 2 4 8 2 2" xfId="15320" xr:uid="{F2143D15-F357-446B-B8E9-B43CB2F44EDE}"/>
    <cellStyle name="Normal 5 2 4 8 3" xfId="11102" xr:uid="{61EDBD7D-31E3-4957-81DB-2E6A931C5E4F}"/>
    <cellStyle name="Normal 5 2 4 9" xfId="4805" xr:uid="{00000000-0005-0000-0000-000021190000}"/>
    <cellStyle name="Normal 5 2 4 9 2" xfId="13255" xr:uid="{B18C7421-8B81-4275-A5E1-890D53768DF1}"/>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2 2 2" xfId="15818" xr:uid="{DB6DE0B9-055A-4A0D-930E-95F67795ACE0}"/>
    <cellStyle name="Normal 5 2 5 2 2 2 3" xfId="11600" xr:uid="{1E3B2F63-F1F8-4E11-ABE8-BCACFCB830FF}"/>
    <cellStyle name="Normal 5 2 5 2 2 3" xfId="5223" xr:uid="{00000000-0005-0000-0000-000027190000}"/>
    <cellStyle name="Normal 5 2 5 2 2 3 2" xfId="13673" xr:uid="{9A74B171-94F3-4B59-AF8E-AEA9DA86E56B}"/>
    <cellStyle name="Normal 5 2 5 2 2 4" xfId="9455" xr:uid="{218652FA-F096-4922-976E-17DC48F25881}"/>
    <cellStyle name="Normal 5 2 5 2 3" xfId="1329" xr:uid="{00000000-0005-0000-0000-000028190000}"/>
    <cellStyle name="Normal 5 2 5 2 3 2" xfId="3559" xr:uid="{00000000-0005-0000-0000-000029190000}"/>
    <cellStyle name="Normal 5 2 5 2 3 2 2" xfId="7781" xr:uid="{00000000-0005-0000-0000-00002A190000}"/>
    <cellStyle name="Normal 5 2 5 2 3 2 2 2" xfId="16231" xr:uid="{86C5B0A2-1CF1-47E8-B1A2-95D62C4502B0}"/>
    <cellStyle name="Normal 5 2 5 2 3 2 3" xfId="12013" xr:uid="{1750C97E-9766-488A-ADF6-1736A1910EE6}"/>
    <cellStyle name="Normal 5 2 5 2 3 3" xfId="5636" xr:uid="{00000000-0005-0000-0000-00002B190000}"/>
    <cellStyle name="Normal 5 2 5 2 3 3 2" xfId="14086" xr:uid="{A3BDD0EC-7D58-4219-AC5A-7379AD592F38}"/>
    <cellStyle name="Normal 5 2 5 2 3 4" xfId="9868" xr:uid="{28023BFA-0183-4CEB-A974-BDE40DC54B25}"/>
    <cellStyle name="Normal 5 2 5 2 4" xfId="1742" xr:uid="{00000000-0005-0000-0000-00002C190000}"/>
    <cellStyle name="Normal 5 2 5 2 4 2" xfId="3972" xr:uid="{00000000-0005-0000-0000-00002D190000}"/>
    <cellStyle name="Normal 5 2 5 2 4 2 2" xfId="8194" xr:uid="{00000000-0005-0000-0000-00002E190000}"/>
    <cellStyle name="Normal 5 2 5 2 4 2 2 2" xfId="16644" xr:uid="{C60DFA0F-50FC-46A0-B84A-53A6506327DF}"/>
    <cellStyle name="Normal 5 2 5 2 4 2 3" xfId="12426" xr:uid="{2071260E-A77B-4B5B-9D1F-CC0840D2CD17}"/>
    <cellStyle name="Normal 5 2 5 2 4 3" xfId="6049" xr:uid="{00000000-0005-0000-0000-00002F190000}"/>
    <cellStyle name="Normal 5 2 5 2 4 3 2" xfId="14499" xr:uid="{9C05BFB2-F892-4D46-9D74-2D7A5B1CE1F1}"/>
    <cellStyle name="Normal 5 2 5 2 4 4" xfId="10281" xr:uid="{BC1187EA-9754-40DF-840F-225925530419}"/>
    <cellStyle name="Normal 5 2 5 2 5" xfId="2156" xr:uid="{00000000-0005-0000-0000-000030190000}"/>
    <cellStyle name="Normal 5 2 5 2 5 2" xfId="4385" xr:uid="{00000000-0005-0000-0000-000031190000}"/>
    <cellStyle name="Normal 5 2 5 2 5 2 2" xfId="8607" xr:uid="{00000000-0005-0000-0000-000032190000}"/>
    <cellStyle name="Normal 5 2 5 2 5 2 2 2" xfId="17057" xr:uid="{F868552B-FEAE-4E15-95DB-7349889750B5}"/>
    <cellStyle name="Normal 5 2 5 2 5 2 3" xfId="12839" xr:uid="{E8704423-3CDF-425E-B18F-C7998908E6E9}"/>
    <cellStyle name="Normal 5 2 5 2 5 3" xfId="6462" xr:uid="{00000000-0005-0000-0000-000033190000}"/>
    <cellStyle name="Normal 5 2 5 2 5 3 2" xfId="14912" xr:uid="{EC3DD100-7659-469F-B6C3-DDB69321FD23}"/>
    <cellStyle name="Normal 5 2 5 2 5 4" xfId="10694" xr:uid="{07ABD992-70BE-4CFD-AA55-9252DE25B251}"/>
    <cellStyle name="Normal 5 2 5 2 6" xfId="2592" xr:uid="{00000000-0005-0000-0000-000034190000}"/>
    <cellStyle name="Normal 5 2 5 2 6 2" xfId="6875" xr:uid="{00000000-0005-0000-0000-000035190000}"/>
    <cellStyle name="Normal 5 2 5 2 6 2 2" xfId="15325" xr:uid="{8F01C366-173C-400A-9B9E-286D6533CBDE}"/>
    <cellStyle name="Normal 5 2 5 2 6 3" xfId="11107" xr:uid="{7FDBB019-6E7C-4307-9B32-DC61D361E97F}"/>
    <cellStyle name="Normal 5 2 5 2 7" xfId="4810" xr:uid="{00000000-0005-0000-0000-000036190000}"/>
    <cellStyle name="Normal 5 2 5 2 7 2" xfId="13260" xr:uid="{652DA1C1-51ED-4C9C-839E-962AF81A6B94}"/>
    <cellStyle name="Normal 5 2 5 2 8" xfId="9042" xr:uid="{CEE498F2-36FA-4E4E-8608-28AF36273457}"/>
    <cellStyle name="Normal 5 2 5 3" xfId="910" xr:uid="{00000000-0005-0000-0000-000037190000}"/>
    <cellStyle name="Normal 5 2 5 3 2" xfId="3145" xr:uid="{00000000-0005-0000-0000-000038190000}"/>
    <cellStyle name="Normal 5 2 5 3 2 2" xfId="7367" xr:uid="{00000000-0005-0000-0000-000039190000}"/>
    <cellStyle name="Normal 5 2 5 3 2 2 2" xfId="15817" xr:uid="{F7556B2B-FBFC-4C85-B69F-248C90FFFD0E}"/>
    <cellStyle name="Normal 5 2 5 3 2 3" xfId="11599" xr:uid="{8A490E24-B516-425B-958D-3A0788B6ED30}"/>
    <cellStyle name="Normal 5 2 5 3 3" xfId="5222" xr:uid="{00000000-0005-0000-0000-00003A190000}"/>
    <cellStyle name="Normal 5 2 5 3 3 2" xfId="13672" xr:uid="{269E61D0-B3FB-42C9-94B6-75E3C6854283}"/>
    <cellStyle name="Normal 5 2 5 3 4" xfId="9454" xr:uid="{14A9F47A-B484-4328-AF99-DFDC9DEBA709}"/>
    <cellStyle name="Normal 5 2 5 4" xfId="1328" xr:uid="{00000000-0005-0000-0000-00003B190000}"/>
    <cellStyle name="Normal 5 2 5 4 2" xfId="3558" xr:uid="{00000000-0005-0000-0000-00003C190000}"/>
    <cellStyle name="Normal 5 2 5 4 2 2" xfId="7780" xr:uid="{00000000-0005-0000-0000-00003D190000}"/>
    <cellStyle name="Normal 5 2 5 4 2 2 2" xfId="16230" xr:uid="{6980854E-015A-4A5E-A5E1-9AC14712BE79}"/>
    <cellStyle name="Normal 5 2 5 4 2 3" xfId="12012" xr:uid="{487FD5D4-3519-40B9-A89E-C6A0C2F25956}"/>
    <cellStyle name="Normal 5 2 5 4 3" xfId="5635" xr:uid="{00000000-0005-0000-0000-00003E190000}"/>
    <cellStyle name="Normal 5 2 5 4 3 2" xfId="14085" xr:uid="{DC119999-1934-465B-A8C4-9AC524EE5406}"/>
    <cellStyle name="Normal 5 2 5 4 4" xfId="9867" xr:uid="{CCF3C406-D5DF-4B6D-9B6D-3FD0D5E9D06C}"/>
    <cellStyle name="Normal 5 2 5 5" xfId="1741" xr:uid="{00000000-0005-0000-0000-00003F190000}"/>
    <cellStyle name="Normal 5 2 5 5 2" xfId="3971" xr:uid="{00000000-0005-0000-0000-000040190000}"/>
    <cellStyle name="Normal 5 2 5 5 2 2" xfId="8193" xr:uid="{00000000-0005-0000-0000-000041190000}"/>
    <cellStyle name="Normal 5 2 5 5 2 2 2" xfId="16643" xr:uid="{C3F6349A-973E-404B-8446-8F8D379B1F74}"/>
    <cellStyle name="Normal 5 2 5 5 2 3" xfId="12425" xr:uid="{9ACFA94F-0351-4300-A952-1B944A556320}"/>
    <cellStyle name="Normal 5 2 5 5 3" xfId="6048" xr:uid="{00000000-0005-0000-0000-000042190000}"/>
    <cellStyle name="Normal 5 2 5 5 3 2" xfId="14498" xr:uid="{6FF5E011-4141-4A9B-BE6A-A5FC362F5570}"/>
    <cellStyle name="Normal 5 2 5 5 4" xfId="10280" xr:uid="{4DE4A606-BBCF-4231-A415-0748ED9FEA59}"/>
    <cellStyle name="Normal 5 2 5 6" xfId="2155" xr:uid="{00000000-0005-0000-0000-000043190000}"/>
    <cellStyle name="Normal 5 2 5 6 2" xfId="4384" xr:uid="{00000000-0005-0000-0000-000044190000}"/>
    <cellStyle name="Normal 5 2 5 6 2 2" xfId="8606" xr:uid="{00000000-0005-0000-0000-000045190000}"/>
    <cellStyle name="Normal 5 2 5 6 2 2 2" xfId="17056" xr:uid="{8092005E-0B72-499B-982D-8D9429F159DB}"/>
    <cellStyle name="Normal 5 2 5 6 2 3" xfId="12838" xr:uid="{0864242E-065B-46DD-8B7B-9B8B58B4306E}"/>
    <cellStyle name="Normal 5 2 5 6 3" xfId="6461" xr:uid="{00000000-0005-0000-0000-000046190000}"/>
    <cellStyle name="Normal 5 2 5 6 3 2" xfId="14911" xr:uid="{940BDCE8-03C2-4C18-AB5D-4A80712382A0}"/>
    <cellStyle name="Normal 5 2 5 6 4" xfId="10693" xr:uid="{19EFD1AA-03C1-4C73-A9ED-AA30E3C1E5B5}"/>
    <cellStyle name="Normal 5 2 5 7" xfId="2591" xr:uid="{00000000-0005-0000-0000-000047190000}"/>
    <cellStyle name="Normal 5 2 5 7 2" xfId="6874" xr:uid="{00000000-0005-0000-0000-000048190000}"/>
    <cellStyle name="Normal 5 2 5 7 2 2" xfId="15324" xr:uid="{99673F64-7CAC-4278-9559-9403448460D7}"/>
    <cellStyle name="Normal 5 2 5 7 3" xfId="11106" xr:uid="{D6B0E03E-A1D9-4915-A528-7A750E756B8D}"/>
    <cellStyle name="Normal 5 2 5 8" xfId="4809" xr:uid="{00000000-0005-0000-0000-000049190000}"/>
    <cellStyle name="Normal 5 2 5 8 2" xfId="13259" xr:uid="{E341F763-2D99-4B17-B6AD-7CE01C463CAE}"/>
    <cellStyle name="Normal 5 2 5 9" xfId="9041" xr:uid="{B8F2B7A5-BC9A-4732-839B-EEEBA7E439B1}"/>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2 2 2" xfId="15819" xr:uid="{F5C15BF3-2064-47B7-865E-4CBA1D2C74BC}"/>
    <cellStyle name="Normal 5 2 6 2 2 3" xfId="11601" xr:uid="{F40D16CB-7168-4488-A0B8-4CFD4C466A84}"/>
    <cellStyle name="Normal 5 2 6 2 3" xfId="5224" xr:uid="{00000000-0005-0000-0000-00004E190000}"/>
    <cellStyle name="Normal 5 2 6 2 3 2" xfId="13674" xr:uid="{252CB859-52E7-4C97-8ED7-39CCBABBE3C2}"/>
    <cellStyle name="Normal 5 2 6 2 4" xfId="9456" xr:uid="{E7D118C7-11C7-4E77-8242-4EE0AF118B0E}"/>
    <cellStyle name="Normal 5 2 6 3" xfId="1330" xr:uid="{00000000-0005-0000-0000-00004F190000}"/>
    <cellStyle name="Normal 5 2 6 3 2" xfId="3560" xr:uid="{00000000-0005-0000-0000-000050190000}"/>
    <cellStyle name="Normal 5 2 6 3 2 2" xfId="7782" xr:uid="{00000000-0005-0000-0000-000051190000}"/>
    <cellStyle name="Normal 5 2 6 3 2 2 2" xfId="16232" xr:uid="{B507B8CC-7F36-42A9-93E5-E50C0892E7EE}"/>
    <cellStyle name="Normal 5 2 6 3 2 3" xfId="12014" xr:uid="{96C4CEDF-C334-49B1-A318-6E072FD4DA6A}"/>
    <cellStyle name="Normal 5 2 6 3 3" xfId="5637" xr:uid="{00000000-0005-0000-0000-000052190000}"/>
    <cellStyle name="Normal 5 2 6 3 3 2" xfId="14087" xr:uid="{40ED902C-7246-4BEE-A2A9-AD7F7A3E1152}"/>
    <cellStyle name="Normal 5 2 6 3 4" xfId="9869" xr:uid="{2AC539B3-FC43-453D-AA08-0511595EBCB9}"/>
    <cellStyle name="Normal 5 2 6 4" xfId="1743" xr:uid="{00000000-0005-0000-0000-000053190000}"/>
    <cellStyle name="Normal 5 2 6 4 2" xfId="3973" xr:uid="{00000000-0005-0000-0000-000054190000}"/>
    <cellStyle name="Normal 5 2 6 4 2 2" xfId="8195" xr:uid="{00000000-0005-0000-0000-000055190000}"/>
    <cellStyle name="Normal 5 2 6 4 2 2 2" xfId="16645" xr:uid="{EDED0A2B-5478-4AFA-B4C7-08F4286AABCD}"/>
    <cellStyle name="Normal 5 2 6 4 2 3" xfId="12427" xr:uid="{5868ECD1-576B-4599-A81D-6907296391D0}"/>
    <cellStyle name="Normal 5 2 6 4 3" xfId="6050" xr:uid="{00000000-0005-0000-0000-000056190000}"/>
    <cellStyle name="Normal 5 2 6 4 3 2" xfId="14500" xr:uid="{350059EB-86F8-44BA-B55B-05B44133E8F5}"/>
    <cellStyle name="Normal 5 2 6 4 4" xfId="10282" xr:uid="{FB111C30-2197-44F7-9632-17ADCFB9C443}"/>
    <cellStyle name="Normal 5 2 6 5" xfId="2157" xr:uid="{00000000-0005-0000-0000-000057190000}"/>
    <cellStyle name="Normal 5 2 6 5 2" xfId="4386" xr:uid="{00000000-0005-0000-0000-000058190000}"/>
    <cellStyle name="Normal 5 2 6 5 2 2" xfId="8608" xr:uid="{00000000-0005-0000-0000-000059190000}"/>
    <cellStyle name="Normal 5 2 6 5 2 2 2" xfId="17058" xr:uid="{F0EF3395-43C2-4545-923D-2165A872DA87}"/>
    <cellStyle name="Normal 5 2 6 5 2 3" xfId="12840" xr:uid="{8E035BFD-40B1-405E-9ECA-C9725717B024}"/>
    <cellStyle name="Normal 5 2 6 5 3" xfId="6463" xr:uid="{00000000-0005-0000-0000-00005A190000}"/>
    <cellStyle name="Normal 5 2 6 5 3 2" xfId="14913" xr:uid="{E38B0F37-BE2B-44D8-8CCB-FF7F6287CCE4}"/>
    <cellStyle name="Normal 5 2 6 5 4" xfId="10695" xr:uid="{3B4AAA11-5183-4317-A2A0-189386AA4F8E}"/>
    <cellStyle name="Normal 5 2 6 6" xfId="2593" xr:uid="{00000000-0005-0000-0000-00005B190000}"/>
    <cellStyle name="Normal 5 2 6 6 2" xfId="6876" xr:uid="{00000000-0005-0000-0000-00005C190000}"/>
    <cellStyle name="Normal 5 2 6 6 2 2" xfId="15326" xr:uid="{5E099A21-578B-4EBE-A746-7E8F0887138E}"/>
    <cellStyle name="Normal 5 2 6 6 3" xfId="11108" xr:uid="{3A547327-7387-4143-8A60-E836EAC83575}"/>
    <cellStyle name="Normal 5 2 6 7" xfId="4811" xr:uid="{00000000-0005-0000-0000-00005D190000}"/>
    <cellStyle name="Normal 5 2 6 7 2" xfId="13261" xr:uid="{8A1AD825-732F-40DC-A6A9-FEE4215415C6}"/>
    <cellStyle name="Normal 5 2 6 8" xfId="9043" xr:uid="{B25E5EC5-EDF8-4707-A4B6-F22259372551}"/>
    <cellStyle name="Normal 5 2 7" xfId="881" xr:uid="{00000000-0005-0000-0000-00005E190000}"/>
    <cellStyle name="Normal 5 2 7 2" xfId="3116" xr:uid="{00000000-0005-0000-0000-00005F190000}"/>
    <cellStyle name="Normal 5 2 7 2 2" xfId="7338" xr:uid="{00000000-0005-0000-0000-000060190000}"/>
    <cellStyle name="Normal 5 2 7 2 2 2" xfId="15788" xr:uid="{FB750BB4-26EE-4433-8C48-44E5C0888BAC}"/>
    <cellStyle name="Normal 5 2 7 2 3" xfId="11570" xr:uid="{7AB6666D-D811-45EC-A403-8113FB34F081}"/>
    <cellStyle name="Normal 5 2 7 3" xfId="5193" xr:uid="{00000000-0005-0000-0000-000061190000}"/>
    <cellStyle name="Normal 5 2 7 3 2" xfId="13643" xr:uid="{4966FCF5-421D-4C49-8112-E60B3E505CDD}"/>
    <cellStyle name="Normal 5 2 7 4" xfId="9425" xr:uid="{94121462-218E-4AD9-8126-37C4685E2F9D}"/>
    <cellStyle name="Normal 5 2 8" xfId="1299" xr:uid="{00000000-0005-0000-0000-000062190000}"/>
    <cellStyle name="Normal 5 2 8 2" xfId="3529" xr:uid="{00000000-0005-0000-0000-000063190000}"/>
    <cellStyle name="Normal 5 2 8 2 2" xfId="7751" xr:uid="{00000000-0005-0000-0000-000064190000}"/>
    <cellStyle name="Normal 5 2 8 2 2 2" xfId="16201" xr:uid="{F5806F05-7140-46DA-9B1F-43FA458A755E}"/>
    <cellStyle name="Normal 5 2 8 2 3" xfId="11983" xr:uid="{AECFEFC9-2C50-41D9-AE49-1446232A1BA9}"/>
    <cellStyle name="Normal 5 2 8 3" xfId="5606" xr:uid="{00000000-0005-0000-0000-000065190000}"/>
    <cellStyle name="Normal 5 2 8 3 2" xfId="14056" xr:uid="{E76D5447-45C7-4487-B45A-BFD1828BE147}"/>
    <cellStyle name="Normal 5 2 8 4" xfId="9838" xr:uid="{5DB21053-9336-4E0B-8609-435FF8E93131}"/>
    <cellStyle name="Normal 5 2 9" xfId="1712" xr:uid="{00000000-0005-0000-0000-000066190000}"/>
    <cellStyle name="Normal 5 2 9 2" xfId="3942" xr:uid="{00000000-0005-0000-0000-000067190000}"/>
    <cellStyle name="Normal 5 2 9 2 2" xfId="8164" xr:uid="{00000000-0005-0000-0000-000068190000}"/>
    <cellStyle name="Normal 5 2 9 2 2 2" xfId="16614" xr:uid="{C8AB8909-6A55-4007-825D-F8C7E1BA564C}"/>
    <cellStyle name="Normal 5 2 9 2 3" xfId="12396" xr:uid="{F31A873C-AE1D-4495-88E9-6D3B6CAE019E}"/>
    <cellStyle name="Normal 5 2 9 3" xfId="6019" xr:uid="{00000000-0005-0000-0000-000069190000}"/>
    <cellStyle name="Normal 5 2 9 3 2" xfId="14469" xr:uid="{4BF68578-D045-4E09-B6EA-7E9E3D87784E}"/>
    <cellStyle name="Normal 5 2 9 4" xfId="10251" xr:uid="{BFCEAD62-DBB4-44FE-B40B-78102BD05A64}"/>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2 2 2" xfId="17059" xr:uid="{46101711-7102-40F5-AB4E-287DC28040B2}"/>
    <cellStyle name="Normal 5 3 10 2 3" xfId="12841" xr:uid="{0C9456DD-E5DB-49BA-AC47-79DADCE3D340}"/>
    <cellStyle name="Normal 5 3 10 3" xfId="6464" xr:uid="{00000000-0005-0000-0000-00006E190000}"/>
    <cellStyle name="Normal 5 3 10 3 2" xfId="14914" xr:uid="{61DEB092-D0DD-4D26-A602-86FDA6B35613}"/>
    <cellStyle name="Normal 5 3 10 4" xfId="10696" xr:uid="{E038EB2A-967A-47E8-B9A9-0A1221D26AAB}"/>
    <cellStyle name="Normal 5 3 11" xfId="2594" xr:uid="{00000000-0005-0000-0000-00006F190000}"/>
    <cellStyle name="Normal 5 3 11 2" xfId="6877" xr:uid="{00000000-0005-0000-0000-000070190000}"/>
    <cellStyle name="Normal 5 3 11 2 2" xfId="15327" xr:uid="{C46A0BCC-8CA5-4712-A38E-D621FD28F144}"/>
    <cellStyle name="Normal 5 3 11 3" xfId="11109" xr:uid="{D6048F93-8E3B-46A0-B08B-556185B1D338}"/>
    <cellStyle name="Normal 5 3 12" xfId="4812" xr:uid="{00000000-0005-0000-0000-000071190000}"/>
    <cellStyle name="Normal 5 3 12 2" xfId="13262" xr:uid="{0ED83638-3F01-4F84-91AD-F2EA9246B827}"/>
    <cellStyle name="Normal 5 3 13" xfId="9044" xr:uid="{B2C3F2FD-94A2-488E-B22C-7D8F7F1AC28E}"/>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10 2" xfId="13263" xr:uid="{8E5B344B-1D7D-46E5-8791-E1B4C3D1091D}"/>
    <cellStyle name="Normal 5 3 3 11" xfId="9045" xr:uid="{437825FC-DFA7-49ED-A449-DB73B3004B08}"/>
    <cellStyle name="Normal 5 3 3 2" xfId="442" xr:uid="{00000000-0005-0000-0000-000076190000}"/>
    <cellStyle name="Normal 5 3 3 2 10" xfId="9046" xr:uid="{9E415888-DBE9-4B1C-9F81-BA712B5EEADF}"/>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2 2 2" xfId="15824" xr:uid="{7BBD3800-DF6E-408E-B947-A0CBC86ED060}"/>
    <cellStyle name="Normal 5 3 3 2 2 2 2 2 3" xfId="11606" xr:uid="{4E896107-3B28-4810-802F-E836DF6A9400}"/>
    <cellStyle name="Normal 5 3 3 2 2 2 2 3" xfId="5229" xr:uid="{00000000-0005-0000-0000-00007C190000}"/>
    <cellStyle name="Normal 5 3 3 2 2 2 2 3 2" xfId="13679" xr:uid="{AA2E785E-829C-407A-9328-0A5DC14144DE}"/>
    <cellStyle name="Normal 5 3 3 2 2 2 2 4" xfId="9461" xr:uid="{0566C2D7-18B6-47DC-B0B9-3C02A941F7D8}"/>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2 2 2" xfId="16237" xr:uid="{BB64B38A-ADF3-4F2C-B1AF-D95C00DCCE32}"/>
    <cellStyle name="Normal 5 3 3 2 2 2 3 2 3" xfId="12019" xr:uid="{99135AD0-4748-4F08-BB0D-163927D9B586}"/>
    <cellStyle name="Normal 5 3 3 2 2 2 3 3" xfId="5642" xr:uid="{00000000-0005-0000-0000-000080190000}"/>
    <cellStyle name="Normal 5 3 3 2 2 2 3 3 2" xfId="14092" xr:uid="{61479E9D-F2E8-4638-B3FC-94154221BC3C}"/>
    <cellStyle name="Normal 5 3 3 2 2 2 3 4" xfId="9874" xr:uid="{3BCBBBF4-3577-4BE0-A308-854866DDECD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2 2 2" xfId="16650" xr:uid="{2CD5CAF2-9970-4FA2-8B0D-128B3166ABC4}"/>
    <cellStyle name="Normal 5 3 3 2 2 2 4 2 3" xfId="12432" xr:uid="{C0BC863A-AFB3-4284-A07F-05DDEF7D57F9}"/>
    <cellStyle name="Normal 5 3 3 2 2 2 4 3" xfId="6055" xr:uid="{00000000-0005-0000-0000-000084190000}"/>
    <cellStyle name="Normal 5 3 3 2 2 2 4 3 2" xfId="14505" xr:uid="{3931D4E7-B4CD-4E23-B5BE-03293F044B73}"/>
    <cellStyle name="Normal 5 3 3 2 2 2 4 4" xfId="10287" xr:uid="{B69CB326-7AA2-4106-BB74-A39037CD539B}"/>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2 2 2" xfId="17063" xr:uid="{3E833E25-6BB1-414A-A474-7B2EAF5E8B74}"/>
    <cellStyle name="Normal 5 3 3 2 2 2 5 2 3" xfId="12845" xr:uid="{DB0368B1-85A3-4F88-9B59-69FDD6330D2E}"/>
    <cellStyle name="Normal 5 3 3 2 2 2 5 3" xfId="6468" xr:uid="{00000000-0005-0000-0000-000088190000}"/>
    <cellStyle name="Normal 5 3 3 2 2 2 5 3 2" xfId="14918" xr:uid="{D00881C1-09D5-4A37-AA57-49432AC0C79B}"/>
    <cellStyle name="Normal 5 3 3 2 2 2 5 4" xfId="10700" xr:uid="{B991ACD7-6FA5-4E22-BB0D-2C517D6C3308}"/>
    <cellStyle name="Normal 5 3 3 2 2 2 6" xfId="2598" xr:uid="{00000000-0005-0000-0000-000089190000}"/>
    <cellStyle name="Normal 5 3 3 2 2 2 6 2" xfId="6881" xr:uid="{00000000-0005-0000-0000-00008A190000}"/>
    <cellStyle name="Normal 5 3 3 2 2 2 6 2 2" xfId="15331" xr:uid="{8E6D5D88-3650-4CBC-8866-60893F665962}"/>
    <cellStyle name="Normal 5 3 3 2 2 2 6 3" xfId="11113" xr:uid="{F68260F5-15B5-4EE0-A619-10D4AA057552}"/>
    <cellStyle name="Normal 5 3 3 2 2 2 7" xfId="4816" xr:uid="{00000000-0005-0000-0000-00008B190000}"/>
    <cellStyle name="Normal 5 3 3 2 2 2 7 2" xfId="13266" xr:uid="{8C174C4D-19B2-43FA-9F05-E336D16A846B}"/>
    <cellStyle name="Normal 5 3 3 2 2 2 8" xfId="9048" xr:uid="{34662661-A5D0-4A36-B818-EDE76AE55B49}"/>
    <cellStyle name="Normal 5 3 3 2 2 3" xfId="917" xr:uid="{00000000-0005-0000-0000-00008C190000}"/>
    <cellStyle name="Normal 5 3 3 2 2 3 2" xfId="3151" xr:uid="{00000000-0005-0000-0000-00008D190000}"/>
    <cellStyle name="Normal 5 3 3 2 2 3 2 2" xfId="7373" xr:uid="{00000000-0005-0000-0000-00008E190000}"/>
    <cellStyle name="Normal 5 3 3 2 2 3 2 2 2" xfId="15823" xr:uid="{0E26181A-F141-4082-A485-9057A70F354F}"/>
    <cellStyle name="Normal 5 3 3 2 2 3 2 3" xfId="11605" xr:uid="{2FEBEFCE-2D5A-4652-AE72-F69C9E801145}"/>
    <cellStyle name="Normal 5 3 3 2 2 3 3" xfId="5228" xr:uid="{00000000-0005-0000-0000-00008F190000}"/>
    <cellStyle name="Normal 5 3 3 2 2 3 3 2" xfId="13678" xr:uid="{C7806D33-BCB0-46C9-9531-2F40CE392725}"/>
    <cellStyle name="Normal 5 3 3 2 2 3 4" xfId="9460" xr:uid="{0B20F6BC-EEA7-44B2-BC68-0EEB204E32EB}"/>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2 2 2" xfId="16236" xr:uid="{96A7D8C3-868E-4B07-B719-9F541BA0CA87}"/>
    <cellStyle name="Normal 5 3 3 2 2 4 2 3" xfId="12018" xr:uid="{3761C2B4-62CA-4FB4-93E2-7AFF6C29E7D9}"/>
    <cellStyle name="Normal 5 3 3 2 2 4 3" xfId="5641" xr:uid="{00000000-0005-0000-0000-000093190000}"/>
    <cellStyle name="Normal 5 3 3 2 2 4 3 2" xfId="14091" xr:uid="{4AC98D60-DDBA-4A5F-B3D4-0185AFF43323}"/>
    <cellStyle name="Normal 5 3 3 2 2 4 4" xfId="9873" xr:uid="{2DA32377-AD99-4363-A74F-72C4D22CFDFA}"/>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2 2 2" xfId="16649" xr:uid="{105DBDD4-DE31-4ED4-8F4C-6CC51878FCCD}"/>
    <cellStyle name="Normal 5 3 3 2 2 5 2 3" xfId="12431" xr:uid="{0F6B305C-A0DF-4754-8227-2638D598E31A}"/>
    <cellStyle name="Normal 5 3 3 2 2 5 3" xfId="6054" xr:uid="{00000000-0005-0000-0000-000097190000}"/>
    <cellStyle name="Normal 5 3 3 2 2 5 3 2" xfId="14504" xr:uid="{8316971F-9436-4762-93DD-E9EA6BD5CF2E}"/>
    <cellStyle name="Normal 5 3 3 2 2 5 4" xfId="10286" xr:uid="{D528ABE1-DCB6-4AB4-ABB1-E292D2BBFAD3}"/>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2 2 2" xfId="17062" xr:uid="{489FC52A-0BD4-434C-833A-527335BD8E09}"/>
    <cellStyle name="Normal 5 3 3 2 2 6 2 3" xfId="12844" xr:uid="{1A32C714-A94E-4056-9455-CFD7AC465B8F}"/>
    <cellStyle name="Normal 5 3 3 2 2 6 3" xfId="6467" xr:uid="{00000000-0005-0000-0000-00009B190000}"/>
    <cellStyle name="Normal 5 3 3 2 2 6 3 2" xfId="14917" xr:uid="{A45D5920-CA46-43ED-96B3-F8720B2C3706}"/>
    <cellStyle name="Normal 5 3 3 2 2 6 4" xfId="10699" xr:uid="{B4AB2F46-B1F7-4C90-8CB0-8C6E199481CF}"/>
    <cellStyle name="Normal 5 3 3 2 2 7" xfId="2597" xr:uid="{00000000-0005-0000-0000-00009C190000}"/>
    <cellStyle name="Normal 5 3 3 2 2 7 2" xfId="6880" xr:uid="{00000000-0005-0000-0000-00009D190000}"/>
    <cellStyle name="Normal 5 3 3 2 2 7 2 2" xfId="15330" xr:uid="{21A6C851-2576-4BFC-9014-E604F2A89B3B}"/>
    <cellStyle name="Normal 5 3 3 2 2 7 3" xfId="11112" xr:uid="{D9E6C4B1-5AFB-4B08-A7D0-E851FCCF8ABB}"/>
    <cellStyle name="Normal 5 3 3 2 2 8" xfId="4815" xr:uid="{00000000-0005-0000-0000-00009E190000}"/>
    <cellStyle name="Normal 5 3 3 2 2 8 2" xfId="13265" xr:uid="{0BB63E6E-B755-4BDE-BF96-051370A3984A}"/>
    <cellStyle name="Normal 5 3 3 2 2 9" xfId="9047" xr:uid="{1666E1F7-E1B5-42C3-9584-F34EE1739A83}"/>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2 2 2" xfId="15825" xr:uid="{CF5D60E4-E2B0-4F5E-8EC0-3BD2777731ED}"/>
    <cellStyle name="Normal 5 3 3 2 3 2 2 3" xfId="11607" xr:uid="{54D3476E-DC5B-4908-8AFA-FD4063CB3023}"/>
    <cellStyle name="Normal 5 3 3 2 3 2 3" xfId="5230" xr:uid="{00000000-0005-0000-0000-0000A3190000}"/>
    <cellStyle name="Normal 5 3 3 2 3 2 3 2" xfId="13680" xr:uid="{0D92204D-589B-415D-BB40-57E32E0B77B7}"/>
    <cellStyle name="Normal 5 3 3 2 3 2 4" xfId="9462" xr:uid="{06590A6D-DBC0-4F79-9A4C-360B0E88CC0E}"/>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2 2 2" xfId="16238" xr:uid="{6DFF79B6-501A-4ABC-B732-4DAE75BCA450}"/>
    <cellStyle name="Normal 5 3 3 2 3 3 2 3" xfId="12020" xr:uid="{4276523A-0AB0-4DDD-89EF-0C8E051FAF5B}"/>
    <cellStyle name="Normal 5 3 3 2 3 3 3" xfId="5643" xr:uid="{00000000-0005-0000-0000-0000A7190000}"/>
    <cellStyle name="Normal 5 3 3 2 3 3 3 2" xfId="14093" xr:uid="{F903CAC2-5A35-4422-A0ED-9C80C701B2CD}"/>
    <cellStyle name="Normal 5 3 3 2 3 3 4" xfId="9875" xr:uid="{6E762455-DD40-4C59-A43D-1FBDE8DF82D7}"/>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2 2 2" xfId="16651" xr:uid="{21DF1E9E-A081-4C07-81DC-4261670B0D85}"/>
    <cellStyle name="Normal 5 3 3 2 3 4 2 3" xfId="12433" xr:uid="{72B39DC8-4394-4E01-A2C8-F8F92FD44AA2}"/>
    <cellStyle name="Normal 5 3 3 2 3 4 3" xfId="6056" xr:uid="{00000000-0005-0000-0000-0000AB190000}"/>
    <cellStyle name="Normal 5 3 3 2 3 4 3 2" xfId="14506" xr:uid="{1A2540D0-D50B-49A1-9F97-A45FEA66B4F9}"/>
    <cellStyle name="Normal 5 3 3 2 3 4 4" xfId="10288" xr:uid="{46B01C7E-C0A0-4255-826E-480B274BE0D8}"/>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2 2 2" xfId="17064" xr:uid="{B2665914-C85F-4581-83FB-DE8BD1E1540F}"/>
    <cellStyle name="Normal 5 3 3 2 3 5 2 3" xfId="12846" xr:uid="{A916FFA0-FC61-4AB9-9B79-1844ED5E4440}"/>
    <cellStyle name="Normal 5 3 3 2 3 5 3" xfId="6469" xr:uid="{00000000-0005-0000-0000-0000AF190000}"/>
    <cellStyle name="Normal 5 3 3 2 3 5 3 2" xfId="14919" xr:uid="{38F26EFD-F8B3-4117-AA8D-6FD9DE0A00C4}"/>
    <cellStyle name="Normal 5 3 3 2 3 5 4" xfId="10701" xr:uid="{8BF7BBDF-3567-4AF2-8573-EC2C5E0308C3}"/>
    <cellStyle name="Normal 5 3 3 2 3 6" xfId="2599" xr:uid="{00000000-0005-0000-0000-0000B0190000}"/>
    <cellStyle name="Normal 5 3 3 2 3 6 2" xfId="6882" xr:uid="{00000000-0005-0000-0000-0000B1190000}"/>
    <cellStyle name="Normal 5 3 3 2 3 6 2 2" xfId="15332" xr:uid="{F356134C-88D4-42B8-9066-D8B50101051C}"/>
    <cellStyle name="Normal 5 3 3 2 3 6 3" xfId="11114" xr:uid="{62B27E22-3239-455C-8E34-C28D69037A75}"/>
    <cellStyle name="Normal 5 3 3 2 3 7" xfId="4817" xr:uid="{00000000-0005-0000-0000-0000B2190000}"/>
    <cellStyle name="Normal 5 3 3 2 3 7 2" xfId="13267" xr:uid="{FCD45F13-572C-4AA6-AA72-016E0850DEEE}"/>
    <cellStyle name="Normal 5 3 3 2 3 8" xfId="9049" xr:uid="{9E24821D-6625-4483-90A8-5E5078948606}"/>
    <cellStyle name="Normal 5 3 3 2 4" xfId="916" xr:uid="{00000000-0005-0000-0000-0000B3190000}"/>
    <cellStyle name="Normal 5 3 3 2 4 2" xfId="3150" xr:uid="{00000000-0005-0000-0000-0000B4190000}"/>
    <cellStyle name="Normal 5 3 3 2 4 2 2" xfId="7372" xr:uid="{00000000-0005-0000-0000-0000B5190000}"/>
    <cellStyle name="Normal 5 3 3 2 4 2 2 2" xfId="15822" xr:uid="{D7570B3C-BCD0-4940-BFAA-2486413AA0B1}"/>
    <cellStyle name="Normal 5 3 3 2 4 2 3" xfId="11604" xr:uid="{0FD163B6-3626-4467-8778-C1C303113634}"/>
    <cellStyle name="Normal 5 3 3 2 4 3" xfId="5227" xr:uid="{00000000-0005-0000-0000-0000B6190000}"/>
    <cellStyle name="Normal 5 3 3 2 4 3 2" xfId="13677" xr:uid="{03C8819D-A875-4D27-A967-387E92EB32F6}"/>
    <cellStyle name="Normal 5 3 3 2 4 4" xfId="9459" xr:uid="{688AF106-F68B-434D-B551-A66A8945B1B4}"/>
    <cellStyle name="Normal 5 3 3 2 5" xfId="1333" xr:uid="{00000000-0005-0000-0000-0000B7190000}"/>
    <cellStyle name="Normal 5 3 3 2 5 2" xfId="3563" xr:uid="{00000000-0005-0000-0000-0000B8190000}"/>
    <cellStyle name="Normal 5 3 3 2 5 2 2" xfId="7785" xr:uid="{00000000-0005-0000-0000-0000B9190000}"/>
    <cellStyle name="Normal 5 3 3 2 5 2 2 2" xfId="16235" xr:uid="{A1404F8B-F89C-45CA-9A4D-A3F35F8C7118}"/>
    <cellStyle name="Normal 5 3 3 2 5 2 3" xfId="12017" xr:uid="{A469638E-D1A1-4AE6-BE2C-35D577359909}"/>
    <cellStyle name="Normal 5 3 3 2 5 3" xfId="5640" xr:uid="{00000000-0005-0000-0000-0000BA190000}"/>
    <cellStyle name="Normal 5 3 3 2 5 3 2" xfId="14090" xr:uid="{4C9E6E0E-6361-488F-95AB-E0797BE74773}"/>
    <cellStyle name="Normal 5 3 3 2 5 4" xfId="9872" xr:uid="{6C65570F-BBCF-4291-9A2F-512DCDF53CE1}"/>
    <cellStyle name="Normal 5 3 3 2 6" xfId="1746" xr:uid="{00000000-0005-0000-0000-0000BB190000}"/>
    <cellStyle name="Normal 5 3 3 2 6 2" xfId="3976" xr:uid="{00000000-0005-0000-0000-0000BC190000}"/>
    <cellStyle name="Normal 5 3 3 2 6 2 2" xfId="8198" xr:uid="{00000000-0005-0000-0000-0000BD190000}"/>
    <cellStyle name="Normal 5 3 3 2 6 2 2 2" xfId="16648" xr:uid="{6B5FFB01-D1DD-47E1-AE85-00FE4E7F3D79}"/>
    <cellStyle name="Normal 5 3 3 2 6 2 3" xfId="12430" xr:uid="{EEFE8F6D-0C38-4C49-9332-915386208494}"/>
    <cellStyle name="Normal 5 3 3 2 6 3" xfId="6053" xr:uid="{00000000-0005-0000-0000-0000BE190000}"/>
    <cellStyle name="Normal 5 3 3 2 6 3 2" xfId="14503" xr:uid="{318EEAB7-E07B-4052-9CB2-B43FDDF72121}"/>
    <cellStyle name="Normal 5 3 3 2 6 4" xfId="10285" xr:uid="{2288D3A5-84CA-4E38-9CD1-66BC898299C8}"/>
    <cellStyle name="Normal 5 3 3 2 7" xfId="2160" xr:uid="{00000000-0005-0000-0000-0000BF190000}"/>
    <cellStyle name="Normal 5 3 3 2 7 2" xfId="4389" xr:uid="{00000000-0005-0000-0000-0000C0190000}"/>
    <cellStyle name="Normal 5 3 3 2 7 2 2" xfId="8611" xr:uid="{00000000-0005-0000-0000-0000C1190000}"/>
    <cellStyle name="Normal 5 3 3 2 7 2 2 2" xfId="17061" xr:uid="{EDBCE41A-C087-41AE-B6A8-89851ECCFF94}"/>
    <cellStyle name="Normal 5 3 3 2 7 2 3" xfId="12843" xr:uid="{C1A12CFE-DAAF-406A-8E2F-B35A4A427C10}"/>
    <cellStyle name="Normal 5 3 3 2 7 3" xfId="6466" xr:uid="{00000000-0005-0000-0000-0000C2190000}"/>
    <cellStyle name="Normal 5 3 3 2 7 3 2" xfId="14916" xr:uid="{C6C3876B-AB67-4D87-87E7-16B0A35D414D}"/>
    <cellStyle name="Normal 5 3 3 2 7 4" xfId="10698" xr:uid="{A0BAA04A-B52B-4B07-85CD-567229F52C7C}"/>
    <cellStyle name="Normal 5 3 3 2 8" xfId="2596" xr:uid="{00000000-0005-0000-0000-0000C3190000}"/>
    <cellStyle name="Normal 5 3 3 2 8 2" xfId="6879" xr:uid="{00000000-0005-0000-0000-0000C4190000}"/>
    <cellStyle name="Normal 5 3 3 2 8 2 2" xfId="15329" xr:uid="{6FC47B6F-A57A-4994-9657-1CC89131C004}"/>
    <cellStyle name="Normal 5 3 3 2 8 3" xfId="11111" xr:uid="{5E839CBA-67A6-4948-ACEC-8426604D7A62}"/>
    <cellStyle name="Normal 5 3 3 2 9" xfId="4814" xr:uid="{00000000-0005-0000-0000-0000C5190000}"/>
    <cellStyle name="Normal 5 3 3 2 9 2" xfId="13264" xr:uid="{749D4F7E-74AB-4ED4-B2F2-CFFDCDE4365B}"/>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2 2 2" xfId="15827" xr:uid="{0CD648CD-4331-4B5A-8368-F22F0927C6E1}"/>
    <cellStyle name="Normal 5 3 3 3 2 2 2 3" xfId="11609" xr:uid="{5A277B26-1824-4FB9-9DD2-7D89C7D4A38A}"/>
    <cellStyle name="Normal 5 3 3 3 2 2 3" xfId="5232" xr:uid="{00000000-0005-0000-0000-0000CB190000}"/>
    <cellStyle name="Normal 5 3 3 3 2 2 3 2" xfId="13682" xr:uid="{9029A8A9-561F-4D3B-B653-8ABAB239CEC5}"/>
    <cellStyle name="Normal 5 3 3 3 2 2 4" xfId="9464" xr:uid="{8D12E353-0EB1-4BBE-BCDF-6EA2A5A249DF}"/>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2 2 2" xfId="16240" xr:uid="{5DBD0A71-9D04-4BA8-B844-7C6E74DCB373}"/>
    <cellStyle name="Normal 5 3 3 3 2 3 2 3" xfId="12022" xr:uid="{6859DE58-619A-499B-8F99-4EA3A44E9332}"/>
    <cellStyle name="Normal 5 3 3 3 2 3 3" xfId="5645" xr:uid="{00000000-0005-0000-0000-0000CF190000}"/>
    <cellStyle name="Normal 5 3 3 3 2 3 3 2" xfId="14095" xr:uid="{ABAD53BA-387D-44D6-A23E-D4621DDA2514}"/>
    <cellStyle name="Normal 5 3 3 3 2 3 4" xfId="9877" xr:uid="{E15FDE81-10A9-4B7A-8DE7-2DD19C18E9BB}"/>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2 2 2" xfId="16653" xr:uid="{0EAD9916-791E-49C3-8B8F-5192276CAA00}"/>
    <cellStyle name="Normal 5 3 3 3 2 4 2 3" xfId="12435" xr:uid="{87C00290-40F1-4CA9-9664-A2198EFF05CF}"/>
    <cellStyle name="Normal 5 3 3 3 2 4 3" xfId="6058" xr:uid="{00000000-0005-0000-0000-0000D3190000}"/>
    <cellStyle name="Normal 5 3 3 3 2 4 3 2" xfId="14508" xr:uid="{7BDEC937-4F51-4BEB-88EA-E1EA53EAE704}"/>
    <cellStyle name="Normal 5 3 3 3 2 4 4" xfId="10290" xr:uid="{40A98F24-D5DF-497C-8CBD-8F0BC161670B}"/>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2 2 2" xfId="17066" xr:uid="{0FA42B89-B925-437F-B67B-2621DF4E1480}"/>
    <cellStyle name="Normal 5 3 3 3 2 5 2 3" xfId="12848" xr:uid="{DC331BD0-A5A3-4526-8973-35A24972A1E4}"/>
    <cellStyle name="Normal 5 3 3 3 2 5 3" xfId="6471" xr:uid="{00000000-0005-0000-0000-0000D7190000}"/>
    <cellStyle name="Normal 5 3 3 3 2 5 3 2" xfId="14921" xr:uid="{1F726C14-0F47-4648-A6FE-D4B0598DC870}"/>
    <cellStyle name="Normal 5 3 3 3 2 5 4" xfId="10703" xr:uid="{007D935F-1ACA-4E59-B5DB-882F3893AD53}"/>
    <cellStyle name="Normal 5 3 3 3 2 6" xfId="2601" xr:uid="{00000000-0005-0000-0000-0000D8190000}"/>
    <cellStyle name="Normal 5 3 3 3 2 6 2" xfId="6884" xr:uid="{00000000-0005-0000-0000-0000D9190000}"/>
    <cellStyle name="Normal 5 3 3 3 2 6 2 2" xfId="15334" xr:uid="{DDD4BD97-8E3B-4F17-A7A5-51160F905903}"/>
    <cellStyle name="Normal 5 3 3 3 2 6 3" xfId="11116" xr:uid="{EBEE2945-8D13-46E3-B33F-025D3E8E6920}"/>
    <cellStyle name="Normal 5 3 3 3 2 7" xfId="4819" xr:uid="{00000000-0005-0000-0000-0000DA190000}"/>
    <cellStyle name="Normal 5 3 3 3 2 7 2" xfId="13269" xr:uid="{5DDD6481-057E-4207-A534-4762659FB010}"/>
    <cellStyle name="Normal 5 3 3 3 2 8" xfId="9051" xr:uid="{BF3D58C6-A027-41CC-BDAF-7FCD7EE98596}"/>
    <cellStyle name="Normal 5 3 3 3 3" xfId="920" xr:uid="{00000000-0005-0000-0000-0000DB190000}"/>
    <cellStyle name="Normal 5 3 3 3 3 2" xfId="3154" xr:uid="{00000000-0005-0000-0000-0000DC190000}"/>
    <cellStyle name="Normal 5 3 3 3 3 2 2" xfId="7376" xr:uid="{00000000-0005-0000-0000-0000DD190000}"/>
    <cellStyle name="Normal 5 3 3 3 3 2 2 2" xfId="15826" xr:uid="{16A772AC-F6E5-4B5D-84F8-E8C3384B23D8}"/>
    <cellStyle name="Normal 5 3 3 3 3 2 3" xfId="11608" xr:uid="{A0BE4A13-7FA0-4559-A4E6-5ABFDAC5A06D}"/>
    <cellStyle name="Normal 5 3 3 3 3 3" xfId="5231" xr:uid="{00000000-0005-0000-0000-0000DE190000}"/>
    <cellStyle name="Normal 5 3 3 3 3 3 2" xfId="13681" xr:uid="{334409C1-8A30-4881-A911-2D1E5E1ECB4F}"/>
    <cellStyle name="Normal 5 3 3 3 3 4" xfId="9463" xr:uid="{893D674A-EE8A-4217-B20B-BA2F8FBC17ED}"/>
    <cellStyle name="Normal 5 3 3 3 4" xfId="1337" xr:uid="{00000000-0005-0000-0000-0000DF190000}"/>
    <cellStyle name="Normal 5 3 3 3 4 2" xfId="3567" xr:uid="{00000000-0005-0000-0000-0000E0190000}"/>
    <cellStyle name="Normal 5 3 3 3 4 2 2" xfId="7789" xr:uid="{00000000-0005-0000-0000-0000E1190000}"/>
    <cellStyle name="Normal 5 3 3 3 4 2 2 2" xfId="16239" xr:uid="{FEAB44C3-2401-48BA-A8D3-DC7E0A3FE630}"/>
    <cellStyle name="Normal 5 3 3 3 4 2 3" xfId="12021" xr:uid="{7EA51469-EBAA-4300-852E-709C5F6C2733}"/>
    <cellStyle name="Normal 5 3 3 3 4 3" xfId="5644" xr:uid="{00000000-0005-0000-0000-0000E2190000}"/>
    <cellStyle name="Normal 5 3 3 3 4 3 2" xfId="14094" xr:uid="{A3C23C84-601D-4E80-81BD-79087847B026}"/>
    <cellStyle name="Normal 5 3 3 3 4 4" xfId="9876" xr:uid="{D1B0499A-9234-45E1-A28E-0A45D71C6960}"/>
    <cellStyle name="Normal 5 3 3 3 5" xfId="1750" xr:uid="{00000000-0005-0000-0000-0000E3190000}"/>
    <cellStyle name="Normal 5 3 3 3 5 2" xfId="3980" xr:uid="{00000000-0005-0000-0000-0000E4190000}"/>
    <cellStyle name="Normal 5 3 3 3 5 2 2" xfId="8202" xr:uid="{00000000-0005-0000-0000-0000E5190000}"/>
    <cellStyle name="Normal 5 3 3 3 5 2 2 2" xfId="16652" xr:uid="{FB17DC3F-07FF-4F3D-9C85-9DFA45EA4BBB}"/>
    <cellStyle name="Normal 5 3 3 3 5 2 3" xfId="12434" xr:uid="{F1FEA0DA-BC1C-46CC-AC0A-DDA05C04E667}"/>
    <cellStyle name="Normal 5 3 3 3 5 3" xfId="6057" xr:uid="{00000000-0005-0000-0000-0000E6190000}"/>
    <cellStyle name="Normal 5 3 3 3 5 3 2" xfId="14507" xr:uid="{AB1011DA-D56F-4EFB-A51B-3025884D9186}"/>
    <cellStyle name="Normal 5 3 3 3 5 4" xfId="10289" xr:uid="{76DAD5A3-593E-4BA9-9382-2777D6DDF094}"/>
    <cellStyle name="Normal 5 3 3 3 6" xfId="2164" xr:uid="{00000000-0005-0000-0000-0000E7190000}"/>
    <cellStyle name="Normal 5 3 3 3 6 2" xfId="4393" xr:uid="{00000000-0005-0000-0000-0000E8190000}"/>
    <cellStyle name="Normal 5 3 3 3 6 2 2" xfId="8615" xr:uid="{00000000-0005-0000-0000-0000E9190000}"/>
    <cellStyle name="Normal 5 3 3 3 6 2 2 2" xfId="17065" xr:uid="{6E6F021E-4EBC-4D68-84EC-0991D50BCED6}"/>
    <cellStyle name="Normal 5 3 3 3 6 2 3" xfId="12847" xr:uid="{65A7F2D3-2D50-463F-AA18-B70F68D9EAEA}"/>
    <cellStyle name="Normal 5 3 3 3 6 3" xfId="6470" xr:uid="{00000000-0005-0000-0000-0000EA190000}"/>
    <cellStyle name="Normal 5 3 3 3 6 3 2" xfId="14920" xr:uid="{24A0A88B-1C22-46D7-985E-02E9EC4D9FC1}"/>
    <cellStyle name="Normal 5 3 3 3 6 4" xfId="10702" xr:uid="{42674199-8D9E-4F1E-8933-61226319BC52}"/>
    <cellStyle name="Normal 5 3 3 3 7" xfId="2600" xr:uid="{00000000-0005-0000-0000-0000EB190000}"/>
    <cellStyle name="Normal 5 3 3 3 7 2" xfId="6883" xr:uid="{00000000-0005-0000-0000-0000EC190000}"/>
    <cellStyle name="Normal 5 3 3 3 7 2 2" xfId="15333" xr:uid="{BEC0FEF8-F48B-4E06-89C2-1896263AB755}"/>
    <cellStyle name="Normal 5 3 3 3 7 3" xfId="11115" xr:uid="{E22AEDF2-F05E-4FC4-8044-8071780D01D3}"/>
    <cellStyle name="Normal 5 3 3 3 8" xfId="4818" xr:uid="{00000000-0005-0000-0000-0000ED190000}"/>
    <cellStyle name="Normal 5 3 3 3 8 2" xfId="13268" xr:uid="{37DE8467-B21B-485E-845D-B80CFBDC593B}"/>
    <cellStyle name="Normal 5 3 3 3 9" xfId="9050" xr:uid="{A7D9D8CD-EA77-45C1-9685-0A53563FD26F}"/>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2 2 2" xfId="15828" xr:uid="{66250E12-5F9A-4AEE-B705-365BD43EE297}"/>
    <cellStyle name="Normal 5 3 3 4 2 2 3" xfId="11610" xr:uid="{B4B55ACF-DE0E-4DF2-89B2-CC58534A5474}"/>
    <cellStyle name="Normal 5 3 3 4 2 3" xfId="5233" xr:uid="{00000000-0005-0000-0000-0000F2190000}"/>
    <cellStyle name="Normal 5 3 3 4 2 3 2" xfId="13683" xr:uid="{60070959-4AC8-4ED1-8857-0186FC614D2A}"/>
    <cellStyle name="Normal 5 3 3 4 2 4" xfId="9465" xr:uid="{28ED6A9F-D0AF-49A0-AA3E-EEF992520F40}"/>
    <cellStyle name="Normal 5 3 3 4 3" xfId="1339" xr:uid="{00000000-0005-0000-0000-0000F3190000}"/>
    <cellStyle name="Normal 5 3 3 4 3 2" xfId="3569" xr:uid="{00000000-0005-0000-0000-0000F4190000}"/>
    <cellStyle name="Normal 5 3 3 4 3 2 2" xfId="7791" xr:uid="{00000000-0005-0000-0000-0000F5190000}"/>
    <cellStyle name="Normal 5 3 3 4 3 2 2 2" xfId="16241" xr:uid="{802AF6D2-A7A7-4624-B646-3C21AA500167}"/>
    <cellStyle name="Normal 5 3 3 4 3 2 3" xfId="12023" xr:uid="{13B91EF1-0856-4E33-9B06-FE4175B980F3}"/>
    <cellStyle name="Normal 5 3 3 4 3 3" xfId="5646" xr:uid="{00000000-0005-0000-0000-0000F6190000}"/>
    <cellStyle name="Normal 5 3 3 4 3 3 2" xfId="14096" xr:uid="{166CCCC2-B0D7-4A48-BD05-23A4D460A374}"/>
    <cellStyle name="Normal 5 3 3 4 3 4" xfId="9878" xr:uid="{C1C9EB73-5AE9-4767-BDE1-8421FEC0EC01}"/>
    <cellStyle name="Normal 5 3 3 4 4" xfId="1752" xr:uid="{00000000-0005-0000-0000-0000F7190000}"/>
    <cellStyle name="Normal 5 3 3 4 4 2" xfId="3982" xr:uid="{00000000-0005-0000-0000-0000F8190000}"/>
    <cellStyle name="Normal 5 3 3 4 4 2 2" xfId="8204" xr:uid="{00000000-0005-0000-0000-0000F9190000}"/>
    <cellStyle name="Normal 5 3 3 4 4 2 2 2" xfId="16654" xr:uid="{FB15C050-DE54-4352-9875-CE44F54F6031}"/>
    <cellStyle name="Normal 5 3 3 4 4 2 3" xfId="12436" xr:uid="{1B6B6B0A-E92A-4E4B-AF37-2F7256951186}"/>
    <cellStyle name="Normal 5 3 3 4 4 3" xfId="6059" xr:uid="{00000000-0005-0000-0000-0000FA190000}"/>
    <cellStyle name="Normal 5 3 3 4 4 3 2" xfId="14509" xr:uid="{A57EA9E1-9AE9-47D0-A1AF-5FB577F20314}"/>
    <cellStyle name="Normal 5 3 3 4 4 4" xfId="10291" xr:uid="{F71AFC60-2F08-43C4-BDB6-49CD5D99EEFF}"/>
    <cellStyle name="Normal 5 3 3 4 5" xfId="2166" xr:uid="{00000000-0005-0000-0000-0000FB190000}"/>
    <cellStyle name="Normal 5 3 3 4 5 2" xfId="4395" xr:uid="{00000000-0005-0000-0000-0000FC190000}"/>
    <cellStyle name="Normal 5 3 3 4 5 2 2" xfId="8617" xr:uid="{00000000-0005-0000-0000-0000FD190000}"/>
    <cellStyle name="Normal 5 3 3 4 5 2 2 2" xfId="17067" xr:uid="{97C3DFD3-4266-4FCB-A39E-F91244C7FF61}"/>
    <cellStyle name="Normal 5 3 3 4 5 2 3" xfId="12849" xr:uid="{974FE14B-5E8B-4A93-A7B3-60FEC4B7D47E}"/>
    <cellStyle name="Normal 5 3 3 4 5 3" xfId="6472" xr:uid="{00000000-0005-0000-0000-0000FE190000}"/>
    <cellStyle name="Normal 5 3 3 4 5 3 2" xfId="14922" xr:uid="{DE06A66A-AF74-4E3C-8332-E4B742F27B0D}"/>
    <cellStyle name="Normal 5 3 3 4 5 4" xfId="10704" xr:uid="{5A8AEAA6-69A4-42C5-9B30-54BA7836346A}"/>
    <cellStyle name="Normal 5 3 3 4 6" xfId="2602" xr:uid="{00000000-0005-0000-0000-0000FF190000}"/>
    <cellStyle name="Normal 5 3 3 4 6 2" xfId="6885" xr:uid="{00000000-0005-0000-0000-0000001A0000}"/>
    <cellStyle name="Normal 5 3 3 4 6 2 2" xfId="15335" xr:uid="{D87B4DC1-8909-4ACB-93CE-548007137E70}"/>
    <cellStyle name="Normal 5 3 3 4 6 3" xfId="11117" xr:uid="{3DBF9FFC-D151-4556-AB82-7511E047C6D1}"/>
    <cellStyle name="Normal 5 3 3 4 7" xfId="4820" xr:uid="{00000000-0005-0000-0000-0000011A0000}"/>
    <cellStyle name="Normal 5 3 3 4 7 2" xfId="13270" xr:uid="{F36A0803-6886-40C5-9536-8989C7402B8E}"/>
    <cellStyle name="Normal 5 3 3 4 8" xfId="9052" xr:uid="{34FBF8ED-BF06-4771-8552-9A42E901789A}"/>
    <cellStyle name="Normal 5 3 3 5" xfId="915" xr:uid="{00000000-0005-0000-0000-0000021A0000}"/>
    <cellStyle name="Normal 5 3 3 5 2" xfId="3149" xr:uid="{00000000-0005-0000-0000-0000031A0000}"/>
    <cellStyle name="Normal 5 3 3 5 2 2" xfId="7371" xr:uid="{00000000-0005-0000-0000-0000041A0000}"/>
    <cellStyle name="Normal 5 3 3 5 2 2 2" xfId="15821" xr:uid="{014CC7A0-A3D1-4839-9834-D0EA1FA73636}"/>
    <cellStyle name="Normal 5 3 3 5 2 3" xfId="11603" xr:uid="{2DE81494-3078-4538-968D-E5A43594C076}"/>
    <cellStyle name="Normal 5 3 3 5 3" xfId="5226" xr:uid="{00000000-0005-0000-0000-0000051A0000}"/>
    <cellStyle name="Normal 5 3 3 5 3 2" xfId="13676" xr:uid="{8EA10E77-53F9-4D61-9D1A-39E80F9B88A1}"/>
    <cellStyle name="Normal 5 3 3 5 4" xfId="9458" xr:uid="{9071F0AD-2187-4CE7-8402-B1331ADCCB9D}"/>
    <cellStyle name="Normal 5 3 3 6" xfId="1332" xr:uid="{00000000-0005-0000-0000-0000061A0000}"/>
    <cellStyle name="Normal 5 3 3 6 2" xfId="3562" xr:uid="{00000000-0005-0000-0000-0000071A0000}"/>
    <cellStyle name="Normal 5 3 3 6 2 2" xfId="7784" xr:uid="{00000000-0005-0000-0000-0000081A0000}"/>
    <cellStyle name="Normal 5 3 3 6 2 2 2" xfId="16234" xr:uid="{8D61A9B7-EF23-47E5-8EA2-5E5D85098B8D}"/>
    <cellStyle name="Normal 5 3 3 6 2 3" xfId="12016" xr:uid="{1CC346FC-8BA3-4BF7-801E-785071C46C91}"/>
    <cellStyle name="Normal 5 3 3 6 3" xfId="5639" xr:uid="{00000000-0005-0000-0000-0000091A0000}"/>
    <cellStyle name="Normal 5 3 3 6 3 2" xfId="14089" xr:uid="{E1C67AA3-647D-4996-98D0-3B6FB7665771}"/>
    <cellStyle name="Normal 5 3 3 6 4" xfId="9871" xr:uid="{6ED4329C-4357-4F7B-BE67-9CF342E0A54D}"/>
    <cellStyle name="Normal 5 3 3 7" xfId="1745" xr:uid="{00000000-0005-0000-0000-00000A1A0000}"/>
    <cellStyle name="Normal 5 3 3 7 2" xfId="3975" xr:uid="{00000000-0005-0000-0000-00000B1A0000}"/>
    <cellStyle name="Normal 5 3 3 7 2 2" xfId="8197" xr:uid="{00000000-0005-0000-0000-00000C1A0000}"/>
    <cellStyle name="Normal 5 3 3 7 2 2 2" xfId="16647" xr:uid="{C0A28940-7CBD-434A-A6A7-E6F280B30F19}"/>
    <cellStyle name="Normal 5 3 3 7 2 3" xfId="12429" xr:uid="{AD7E9ECD-62B6-4595-9D64-8F783AD558D2}"/>
    <cellStyle name="Normal 5 3 3 7 3" xfId="6052" xr:uid="{00000000-0005-0000-0000-00000D1A0000}"/>
    <cellStyle name="Normal 5 3 3 7 3 2" xfId="14502" xr:uid="{7251EE98-49C4-432B-9BB4-DBECD4C006C3}"/>
    <cellStyle name="Normal 5 3 3 7 4" xfId="10284" xr:uid="{066591BC-2034-4FF8-8132-B265ABE619D0}"/>
    <cellStyle name="Normal 5 3 3 8" xfId="2159" xr:uid="{00000000-0005-0000-0000-00000E1A0000}"/>
    <cellStyle name="Normal 5 3 3 8 2" xfId="4388" xr:uid="{00000000-0005-0000-0000-00000F1A0000}"/>
    <cellStyle name="Normal 5 3 3 8 2 2" xfId="8610" xr:uid="{00000000-0005-0000-0000-0000101A0000}"/>
    <cellStyle name="Normal 5 3 3 8 2 2 2" xfId="17060" xr:uid="{F6CF37FA-DB56-4F5E-B8AD-A47DB7911929}"/>
    <cellStyle name="Normal 5 3 3 8 2 3" xfId="12842" xr:uid="{8057B3E0-15FD-4DF9-AA9D-A022FDECDBDE}"/>
    <cellStyle name="Normal 5 3 3 8 3" xfId="6465" xr:uid="{00000000-0005-0000-0000-0000111A0000}"/>
    <cellStyle name="Normal 5 3 3 8 3 2" xfId="14915" xr:uid="{6AE32E9A-4AC9-4221-A43B-08B91B73619A}"/>
    <cellStyle name="Normal 5 3 3 8 4" xfId="10697" xr:uid="{2473531B-E45C-44B3-859D-2DBBF1508A47}"/>
    <cellStyle name="Normal 5 3 3 9" xfId="2595" xr:uid="{00000000-0005-0000-0000-0000121A0000}"/>
    <cellStyle name="Normal 5 3 3 9 2" xfId="6878" xr:uid="{00000000-0005-0000-0000-0000131A0000}"/>
    <cellStyle name="Normal 5 3 3 9 2 2" xfId="15328" xr:uid="{96E24715-2B0F-4BFD-B43A-B65EAD2FDAAC}"/>
    <cellStyle name="Normal 5 3 3 9 3" xfId="11110" xr:uid="{E21F4401-CE2E-43C6-A5AA-DAC65FD98359}"/>
    <cellStyle name="Normal 5 3 4" xfId="449" xr:uid="{00000000-0005-0000-0000-0000141A0000}"/>
    <cellStyle name="Normal 5 3 4 10" xfId="9053" xr:uid="{810EC259-252C-4151-B344-374DA4A6FA4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2 2 2" xfId="15831" xr:uid="{748AF7B2-4C36-44F1-BED2-E257DDF8A2B9}"/>
    <cellStyle name="Normal 5 3 4 2 2 2 2 3" xfId="11613" xr:uid="{CBA736EC-33B3-46FB-99BA-E47E87810CFB}"/>
    <cellStyle name="Normal 5 3 4 2 2 2 3" xfId="5236" xr:uid="{00000000-0005-0000-0000-00001A1A0000}"/>
    <cellStyle name="Normal 5 3 4 2 2 2 3 2" xfId="13686" xr:uid="{35E94C8A-BE91-4F99-B862-ECEE4351E706}"/>
    <cellStyle name="Normal 5 3 4 2 2 2 4" xfId="9468" xr:uid="{414D9268-0B80-4DB8-B4E1-050C41B0AB1D}"/>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2 2 2" xfId="16244" xr:uid="{6C89369A-76EE-4E4E-953A-F4E339E31B3B}"/>
    <cellStyle name="Normal 5 3 4 2 2 3 2 3" xfId="12026" xr:uid="{9333F8D5-BCAB-4983-9CCF-86CFF8677438}"/>
    <cellStyle name="Normal 5 3 4 2 2 3 3" xfId="5649" xr:uid="{00000000-0005-0000-0000-00001E1A0000}"/>
    <cellStyle name="Normal 5 3 4 2 2 3 3 2" xfId="14099" xr:uid="{593C6329-73F6-4C9F-ACBC-1780C396D272}"/>
    <cellStyle name="Normal 5 3 4 2 2 3 4" xfId="9881" xr:uid="{5C63BAA8-94FA-4364-B17D-C8FF06B1D5F3}"/>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2 2 2" xfId="16657" xr:uid="{A8510E32-6562-4CDD-91FC-CB4E690A8381}"/>
    <cellStyle name="Normal 5 3 4 2 2 4 2 3" xfId="12439" xr:uid="{320E2B40-B242-4A57-BC0C-E0BB98762EF5}"/>
    <cellStyle name="Normal 5 3 4 2 2 4 3" xfId="6062" xr:uid="{00000000-0005-0000-0000-0000221A0000}"/>
    <cellStyle name="Normal 5 3 4 2 2 4 3 2" xfId="14512" xr:uid="{6BCF3791-FAED-4422-9DDE-EE7BBAB4B331}"/>
    <cellStyle name="Normal 5 3 4 2 2 4 4" xfId="10294" xr:uid="{C2A67F89-8482-4D81-9B5F-8082BEF82619}"/>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2 2 2" xfId="17070" xr:uid="{D93D69AB-EFC3-4201-A3A9-E40F681267C2}"/>
    <cellStyle name="Normal 5 3 4 2 2 5 2 3" xfId="12852" xr:uid="{D408A9E6-1C01-4523-A5D8-E63B82EC23DA}"/>
    <cellStyle name="Normal 5 3 4 2 2 5 3" xfId="6475" xr:uid="{00000000-0005-0000-0000-0000261A0000}"/>
    <cellStyle name="Normal 5 3 4 2 2 5 3 2" xfId="14925" xr:uid="{DC8A396D-434A-4857-B5AA-4A4A74374A44}"/>
    <cellStyle name="Normal 5 3 4 2 2 5 4" xfId="10707" xr:uid="{BA34B6E7-7DA8-4571-8B8E-B8757A0A646F}"/>
    <cellStyle name="Normal 5 3 4 2 2 6" xfId="2605" xr:uid="{00000000-0005-0000-0000-0000271A0000}"/>
    <cellStyle name="Normal 5 3 4 2 2 6 2" xfId="6888" xr:uid="{00000000-0005-0000-0000-0000281A0000}"/>
    <cellStyle name="Normal 5 3 4 2 2 6 2 2" xfId="15338" xr:uid="{EA822780-CADC-4932-8DFC-BF1BA01AC711}"/>
    <cellStyle name="Normal 5 3 4 2 2 6 3" xfId="11120" xr:uid="{970E3101-F85D-48A8-A92A-1C6661678B88}"/>
    <cellStyle name="Normal 5 3 4 2 2 7" xfId="4823" xr:uid="{00000000-0005-0000-0000-0000291A0000}"/>
    <cellStyle name="Normal 5 3 4 2 2 7 2" xfId="13273" xr:uid="{159C7CEA-58E3-4C0A-BB90-DEAEF25CDF45}"/>
    <cellStyle name="Normal 5 3 4 2 2 8" xfId="9055" xr:uid="{99858D79-F044-4648-929C-B057535EFF3E}"/>
    <cellStyle name="Normal 5 3 4 2 3" xfId="924" xr:uid="{00000000-0005-0000-0000-00002A1A0000}"/>
    <cellStyle name="Normal 5 3 4 2 3 2" xfId="3158" xr:uid="{00000000-0005-0000-0000-00002B1A0000}"/>
    <cellStyle name="Normal 5 3 4 2 3 2 2" xfId="7380" xr:uid="{00000000-0005-0000-0000-00002C1A0000}"/>
    <cellStyle name="Normal 5 3 4 2 3 2 2 2" xfId="15830" xr:uid="{9D009AED-FF9C-466C-8ABA-B0E42705D722}"/>
    <cellStyle name="Normal 5 3 4 2 3 2 3" xfId="11612" xr:uid="{B0FA7F51-B45E-4E00-92E0-1F5453B3561F}"/>
    <cellStyle name="Normal 5 3 4 2 3 3" xfId="5235" xr:uid="{00000000-0005-0000-0000-00002D1A0000}"/>
    <cellStyle name="Normal 5 3 4 2 3 3 2" xfId="13685" xr:uid="{435A31AF-2091-4D7C-BACB-82B50DFC4810}"/>
    <cellStyle name="Normal 5 3 4 2 3 4" xfId="9467" xr:uid="{2BAFC7BB-3863-414A-B831-929916C5417C}"/>
    <cellStyle name="Normal 5 3 4 2 4" xfId="1341" xr:uid="{00000000-0005-0000-0000-00002E1A0000}"/>
    <cellStyle name="Normal 5 3 4 2 4 2" xfId="3571" xr:uid="{00000000-0005-0000-0000-00002F1A0000}"/>
    <cellStyle name="Normal 5 3 4 2 4 2 2" xfId="7793" xr:uid="{00000000-0005-0000-0000-0000301A0000}"/>
    <cellStyle name="Normal 5 3 4 2 4 2 2 2" xfId="16243" xr:uid="{9B24F038-A1D0-4D2D-9AE2-0D90E34F5AD1}"/>
    <cellStyle name="Normal 5 3 4 2 4 2 3" xfId="12025" xr:uid="{5427F82E-EA15-49E9-B57A-4C10C269D401}"/>
    <cellStyle name="Normal 5 3 4 2 4 3" xfId="5648" xr:uid="{00000000-0005-0000-0000-0000311A0000}"/>
    <cellStyle name="Normal 5 3 4 2 4 3 2" xfId="14098" xr:uid="{A3230A69-AC81-4CC6-92F6-6775E3E8771D}"/>
    <cellStyle name="Normal 5 3 4 2 4 4" xfId="9880" xr:uid="{316A869A-D1A4-47F2-A185-27DD69080DE3}"/>
    <cellStyle name="Normal 5 3 4 2 5" xfId="1754" xr:uid="{00000000-0005-0000-0000-0000321A0000}"/>
    <cellStyle name="Normal 5 3 4 2 5 2" xfId="3984" xr:uid="{00000000-0005-0000-0000-0000331A0000}"/>
    <cellStyle name="Normal 5 3 4 2 5 2 2" xfId="8206" xr:uid="{00000000-0005-0000-0000-0000341A0000}"/>
    <cellStyle name="Normal 5 3 4 2 5 2 2 2" xfId="16656" xr:uid="{D2E64D00-FF7F-4AD8-9B0F-DB4AEF726A74}"/>
    <cellStyle name="Normal 5 3 4 2 5 2 3" xfId="12438" xr:uid="{03D91224-FA92-4ADD-BD84-3CF2584FDA4A}"/>
    <cellStyle name="Normal 5 3 4 2 5 3" xfId="6061" xr:uid="{00000000-0005-0000-0000-0000351A0000}"/>
    <cellStyle name="Normal 5 3 4 2 5 3 2" xfId="14511" xr:uid="{6111EBA1-6B11-4EA7-8730-BC37F09EE518}"/>
    <cellStyle name="Normal 5 3 4 2 5 4" xfId="10293" xr:uid="{E276A50D-155D-482B-A5AD-2136FD72B752}"/>
    <cellStyle name="Normal 5 3 4 2 6" xfId="2168" xr:uid="{00000000-0005-0000-0000-0000361A0000}"/>
    <cellStyle name="Normal 5 3 4 2 6 2" xfId="4397" xr:uid="{00000000-0005-0000-0000-0000371A0000}"/>
    <cellStyle name="Normal 5 3 4 2 6 2 2" xfId="8619" xr:uid="{00000000-0005-0000-0000-0000381A0000}"/>
    <cellStyle name="Normal 5 3 4 2 6 2 2 2" xfId="17069" xr:uid="{07210082-EAA3-44B0-92DE-957AF6EBE5EB}"/>
    <cellStyle name="Normal 5 3 4 2 6 2 3" xfId="12851" xr:uid="{93322DDB-3624-4A39-A414-BB5CCA58559F}"/>
    <cellStyle name="Normal 5 3 4 2 6 3" xfId="6474" xr:uid="{00000000-0005-0000-0000-0000391A0000}"/>
    <cellStyle name="Normal 5 3 4 2 6 3 2" xfId="14924" xr:uid="{CEB23BAC-0F66-4727-BB32-9103579352B3}"/>
    <cellStyle name="Normal 5 3 4 2 6 4" xfId="10706" xr:uid="{0BB975D8-0D99-4648-9945-FA630A8D8B65}"/>
    <cellStyle name="Normal 5 3 4 2 7" xfId="2604" xr:uid="{00000000-0005-0000-0000-00003A1A0000}"/>
    <cellStyle name="Normal 5 3 4 2 7 2" xfId="6887" xr:uid="{00000000-0005-0000-0000-00003B1A0000}"/>
    <cellStyle name="Normal 5 3 4 2 7 2 2" xfId="15337" xr:uid="{4F1DA93D-E2CA-4C28-9487-5ECE0DA83F39}"/>
    <cellStyle name="Normal 5 3 4 2 7 3" xfId="11119" xr:uid="{7007E623-8AD3-4C96-BAC4-60A004F37E83}"/>
    <cellStyle name="Normal 5 3 4 2 8" xfId="4822" xr:uid="{00000000-0005-0000-0000-00003C1A0000}"/>
    <cellStyle name="Normal 5 3 4 2 8 2" xfId="13272" xr:uid="{EAA709DB-757C-4322-8BBC-A3F335BE7178}"/>
    <cellStyle name="Normal 5 3 4 2 9" xfId="9054" xr:uid="{3D4B70EE-8792-4CD2-BA55-818A591C274D}"/>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2 2 2" xfId="15832" xr:uid="{2D0A6C16-118A-4404-BBC0-1D3AD0C69577}"/>
    <cellStyle name="Normal 5 3 4 3 2 2 3" xfId="11614" xr:uid="{D7EF9312-EF3C-4800-B92F-813F55EB8DED}"/>
    <cellStyle name="Normal 5 3 4 3 2 3" xfId="5237" xr:uid="{00000000-0005-0000-0000-0000411A0000}"/>
    <cellStyle name="Normal 5 3 4 3 2 3 2" xfId="13687" xr:uid="{4E810612-3365-4CED-88B1-BC9E74429BDC}"/>
    <cellStyle name="Normal 5 3 4 3 2 4" xfId="9469" xr:uid="{DBC3C33D-A429-472A-AD64-75A55AAD48F9}"/>
    <cellStyle name="Normal 5 3 4 3 3" xfId="1343" xr:uid="{00000000-0005-0000-0000-0000421A0000}"/>
    <cellStyle name="Normal 5 3 4 3 3 2" xfId="3573" xr:uid="{00000000-0005-0000-0000-0000431A0000}"/>
    <cellStyle name="Normal 5 3 4 3 3 2 2" xfId="7795" xr:uid="{00000000-0005-0000-0000-0000441A0000}"/>
    <cellStyle name="Normal 5 3 4 3 3 2 2 2" xfId="16245" xr:uid="{E5A05C86-D0B9-44EB-8CBF-0CA84DB5A935}"/>
    <cellStyle name="Normal 5 3 4 3 3 2 3" xfId="12027" xr:uid="{3C48817F-B78B-46CF-929B-AF4DAEA07BF7}"/>
    <cellStyle name="Normal 5 3 4 3 3 3" xfId="5650" xr:uid="{00000000-0005-0000-0000-0000451A0000}"/>
    <cellStyle name="Normal 5 3 4 3 3 3 2" xfId="14100" xr:uid="{BD4092C8-344C-4290-960B-7278F9255CAF}"/>
    <cellStyle name="Normal 5 3 4 3 3 4" xfId="9882" xr:uid="{E5BF2DFE-A070-4A6F-9B3D-E280296990C3}"/>
    <cellStyle name="Normal 5 3 4 3 4" xfId="1756" xr:uid="{00000000-0005-0000-0000-0000461A0000}"/>
    <cellStyle name="Normal 5 3 4 3 4 2" xfId="3986" xr:uid="{00000000-0005-0000-0000-0000471A0000}"/>
    <cellStyle name="Normal 5 3 4 3 4 2 2" xfId="8208" xr:uid="{00000000-0005-0000-0000-0000481A0000}"/>
    <cellStyle name="Normal 5 3 4 3 4 2 2 2" xfId="16658" xr:uid="{03B3B2FC-DC19-4EDD-957F-6F935376FCE1}"/>
    <cellStyle name="Normal 5 3 4 3 4 2 3" xfId="12440" xr:uid="{13BF924B-BB3C-4992-8A31-19E682B3A790}"/>
    <cellStyle name="Normal 5 3 4 3 4 3" xfId="6063" xr:uid="{00000000-0005-0000-0000-0000491A0000}"/>
    <cellStyle name="Normal 5 3 4 3 4 3 2" xfId="14513" xr:uid="{7090100B-8CB8-43BC-BD00-80C14462B141}"/>
    <cellStyle name="Normal 5 3 4 3 4 4" xfId="10295" xr:uid="{2AA628BE-2D9D-4B48-9FD9-87EB8EF49E4F}"/>
    <cellStyle name="Normal 5 3 4 3 5" xfId="2170" xr:uid="{00000000-0005-0000-0000-00004A1A0000}"/>
    <cellStyle name="Normal 5 3 4 3 5 2" xfId="4399" xr:uid="{00000000-0005-0000-0000-00004B1A0000}"/>
    <cellStyle name="Normal 5 3 4 3 5 2 2" xfId="8621" xr:uid="{00000000-0005-0000-0000-00004C1A0000}"/>
    <cellStyle name="Normal 5 3 4 3 5 2 2 2" xfId="17071" xr:uid="{636B99A7-DB12-43C4-BF6B-C4E4A7FE7BD9}"/>
    <cellStyle name="Normal 5 3 4 3 5 2 3" xfId="12853" xr:uid="{4655A185-FB09-4BFF-B18E-D427099DABD0}"/>
    <cellStyle name="Normal 5 3 4 3 5 3" xfId="6476" xr:uid="{00000000-0005-0000-0000-00004D1A0000}"/>
    <cellStyle name="Normal 5 3 4 3 5 3 2" xfId="14926" xr:uid="{1CB9B7B1-7200-4A2A-982C-27805EA11EF5}"/>
    <cellStyle name="Normal 5 3 4 3 5 4" xfId="10708" xr:uid="{B9E61782-7D92-4897-B904-9274815C26AE}"/>
    <cellStyle name="Normal 5 3 4 3 6" xfId="2606" xr:uid="{00000000-0005-0000-0000-00004E1A0000}"/>
    <cellStyle name="Normal 5 3 4 3 6 2" xfId="6889" xr:uid="{00000000-0005-0000-0000-00004F1A0000}"/>
    <cellStyle name="Normal 5 3 4 3 6 2 2" xfId="15339" xr:uid="{77CA7806-CEB3-4BA6-8DE3-F356A1C31E94}"/>
    <cellStyle name="Normal 5 3 4 3 6 3" xfId="11121" xr:uid="{79909B62-B564-4D53-AC16-82A69C88C777}"/>
    <cellStyle name="Normal 5 3 4 3 7" xfId="4824" xr:uid="{00000000-0005-0000-0000-0000501A0000}"/>
    <cellStyle name="Normal 5 3 4 3 7 2" xfId="13274" xr:uid="{EE2E86D6-ED1B-4E7F-9A0D-2EF9E79ED2FA}"/>
    <cellStyle name="Normal 5 3 4 3 8" xfId="9056" xr:uid="{A20CAF7F-E376-4B2C-A00D-FE9D2643C844}"/>
    <cellStyle name="Normal 5 3 4 4" xfId="923" xr:uid="{00000000-0005-0000-0000-0000511A0000}"/>
    <cellStyle name="Normal 5 3 4 4 2" xfId="3157" xr:uid="{00000000-0005-0000-0000-0000521A0000}"/>
    <cellStyle name="Normal 5 3 4 4 2 2" xfId="7379" xr:uid="{00000000-0005-0000-0000-0000531A0000}"/>
    <cellStyle name="Normal 5 3 4 4 2 2 2" xfId="15829" xr:uid="{5ECB5847-E455-4688-B074-29D407F48AB9}"/>
    <cellStyle name="Normal 5 3 4 4 2 3" xfId="11611" xr:uid="{3C807FBF-C60F-4A70-A38A-2FA45F7D562B}"/>
    <cellStyle name="Normal 5 3 4 4 3" xfId="5234" xr:uid="{00000000-0005-0000-0000-0000541A0000}"/>
    <cellStyle name="Normal 5 3 4 4 3 2" xfId="13684" xr:uid="{520EF8DB-FB12-4C9F-A475-4B6FF6BDF820}"/>
    <cellStyle name="Normal 5 3 4 4 4" xfId="9466" xr:uid="{4A6746F1-323B-413D-A360-FAE3133E0C9D}"/>
    <cellStyle name="Normal 5 3 4 5" xfId="1340" xr:uid="{00000000-0005-0000-0000-0000551A0000}"/>
    <cellStyle name="Normal 5 3 4 5 2" xfId="3570" xr:uid="{00000000-0005-0000-0000-0000561A0000}"/>
    <cellStyle name="Normal 5 3 4 5 2 2" xfId="7792" xr:uid="{00000000-0005-0000-0000-0000571A0000}"/>
    <cellStyle name="Normal 5 3 4 5 2 2 2" xfId="16242" xr:uid="{23F412FB-996E-4BD0-8E74-721DC5DD0D2C}"/>
    <cellStyle name="Normal 5 3 4 5 2 3" xfId="12024" xr:uid="{CA8C632A-643F-4456-8D28-E71FDBAEDA63}"/>
    <cellStyle name="Normal 5 3 4 5 3" xfId="5647" xr:uid="{00000000-0005-0000-0000-0000581A0000}"/>
    <cellStyle name="Normal 5 3 4 5 3 2" xfId="14097" xr:uid="{BFB06E98-C264-4546-A874-C3B5CB772486}"/>
    <cellStyle name="Normal 5 3 4 5 4" xfId="9879" xr:uid="{C5C53902-3F7B-4F3C-A602-BA45A9CB811D}"/>
    <cellStyle name="Normal 5 3 4 6" xfId="1753" xr:uid="{00000000-0005-0000-0000-0000591A0000}"/>
    <cellStyle name="Normal 5 3 4 6 2" xfId="3983" xr:uid="{00000000-0005-0000-0000-00005A1A0000}"/>
    <cellStyle name="Normal 5 3 4 6 2 2" xfId="8205" xr:uid="{00000000-0005-0000-0000-00005B1A0000}"/>
    <cellStyle name="Normal 5 3 4 6 2 2 2" xfId="16655" xr:uid="{34173DF6-85BB-406D-82F0-33A3FAE026F1}"/>
    <cellStyle name="Normal 5 3 4 6 2 3" xfId="12437" xr:uid="{EE971878-C81E-4BDA-8454-E7BCDC80A53A}"/>
    <cellStyle name="Normal 5 3 4 6 3" xfId="6060" xr:uid="{00000000-0005-0000-0000-00005C1A0000}"/>
    <cellStyle name="Normal 5 3 4 6 3 2" xfId="14510" xr:uid="{4AE722DF-2CCD-4C85-8832-356D92AFC049}"/>
    <cellStyle name="Normal 5 3 4 6 4" xfId="10292" xr:uid="{30B43D04-5A67-40F3-ADDC-48AAADB239A8}"/>
    <cellStyle name="Normal 5 3 4 7" xfId="2167" xr:uid="{00000000-0005-0000-0000-00005D1A0000}"/>
    <cellStyle name="Normal 5 3 4 7 2" xfId="4396" xr:uid="{00000000-0005-0000-0000-00005E1A0000}"/>
    <cellStyle name="Normal 5 3 4 7 2 2" xfId="8618" xr:uid="{00000000-0005-0000-0000-00005F1A0000}"/>
    <cellStyle name="Normal 5 3 4 7 2 2 2" xfId="17068" xr:uid="{F76AB57E-8880-4DAA-8FFA-9821023BD820}"/>
    <cellStyle name="Normal 5 3 4 7 2 3" xfId="12850" xr:uid="{38221E89-B63A-40D8-B004-C3B42F39D636}"/>
    <cellStyle name="Normal 5 3 4 7 3" xfId="6473" xr:uid="{00000000-0005-0000-0000-0000601A0000}"/>
    <cellStyle name="Normal 5 3 4 7 3 2" xfId="14923" xr:uid="{92AF036D-6681-4BBD-AC78-7AF6761AC9CC}"/>
    <cellStyle name="Normal 5 3 4 7 4" xfId="10705" xr:uid="{66A7AE6D-6B74-4242-A8BC-1E949ECD95AC}"/>
    <cellStyle name="Normal 5 3 4 8" xfId="2603" xr:uid="{00000000-0005-0000-0000-0000611A0000}"/>
    <cellStyle name="Normal 5 3 4 8 2" xfId="6886" xr:uid="{00000000-0005-0000-0000-0000621A0000}"/>
    <cellStyle name="Normal 5 3 4 8 2 2" xfId="15336" xr:uid="{7D8EAC8E-B4C4-4198-BBD7-0C6AA694040E}"/>
    <cellStyle name="Normal 5 3 4 8 3" xfId="11118" xr:uid="{9D5FFC24-36BE-4A10-9F0D-D7E6FFBCAE79}"/>
    <cellStyle name="Normal 5 3 4 9" xfId="4821" xr:uid="{00000000-0005-0000-0000-0000631A0000}"/>
    <cellStyle name="Normal 5 3 4 9 2" xfId="13271" xr:uid="{31BD371B-0F41-4249-B058-9E9F15E5355B}"/>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2 2 2" xfId="15834" xr:uid="{113F329C-B8E3-4064-993D-B38AFCD35069}"/>
    <cellStyle name="Normal 5 3 5 2 2 2 3" xfId="11616" xr:uid="{8C0791A7-150D-4DBD-A81B-F5663A0F4AEB}"/>
    <cellStyle name="Normal 5 3 5 2 2 3" xfId="5239" xr:uid="{00000000-0005-0000-0000-0000691A0000}"/>
    <cellStyle name="Normal 5 3 5 2 2 3 2" xfId="13689" xr:uid="{9FE6B895-5A97-4D9E-8028-30C913347C23}"/>
    <cellStyle name="Normal 5 3 5 2 2 4" xfId="9471" xr:uid="{15C5AB27-0D15-4C78-AD56-C898F74F73EA}"/>
    <cellStyle name="Normal 5 3 5 2 3" xfId="1345" xr:uid="{00000000-0005-0000-0000-00006A1A0000}"/>
    <cellStyle name="Normal 5 3 5 2 3 2" xfId="3575" xr:uid="{00000000-0005-0000-0000-00006B1A0000}"/>
    <cellStyle name="Normal 5 3 5 2 3 2 2" xfId="7797" xr:uid="{00000000-0005-0000-0000-00006C1A0000}"/>
    <cellStyle name="Normal 5 3 5 2 3 2 2 2" xfId="16247" xr:uid="{152635ED-EE15-4DF0-954F-2401E90E0C2D}"/>
    <cellStyle name="Normal 5 3 5 2 3 2 3" xfId="12029" xr:uid="{9EC11782-AE1C-4E5C-911F-D76FAAA34BCF}"/>
    <cellStyle name="Normal 5 3 5 2 3 3" xfId="5652" xr:uid="{00000000-0005-0000-0000-00006D1A0000}"/>
    <cellStyle name="Normal 5 3 5 2 3 3 2" xfId="14102" xr:uid="{25A15391-A06A-4C4D-A97B-DAF3929E9EF1}"/>
    <cellStyle name="Normal 5 3 5 2 3 4" xfId="9884" xr:uid="{05CB2931-38FD-418A-B2BD-A2CF3FB7ABEF}"/>
    <cellStyle name="Normal 5 3 5 2 4" xfId="1758" xr:uid="{00000000-0005-0000-0000-00006E1A0000}"/>
    <cellStyle name="Normal 5 3 5 2 4 2" xfId="3988" xr:uid="{00000000-0005-0000-0000-00006F1A0000}"/>
    <cellStyle name="Normal 5 3 5 2 4 2 2" xfId="8210" xr:uid="{00000000-0005-0000-0000-0000701A0000}"/>
    <cellStyle name="Normal 5 3 5 2 4 2 2 2" xfId="16660" xr:uid="{4F1413E2-C7F1-4A88-9E2B-CB7B427DDCA4}"/>
    <cellStyle name="Normal 5 3 5 2 4 2 3" xfId="12442" xr:uid="{DA7FC5E9-72CF-4954-A4E0-818D975813E4}"/>
    <cellStyle name="Normal 5 3 5 2 4 3" xfId="6065" xr:uid="{00000000-0005-0000-0000-0000711A0000}"/>
    <cellStyle name="Normal 5 3 5 2 4 3 2" xfId="14515" xr:uid="{D373F8CA-CC85-4BE8-B06B-E068D7ADC8D2}"/>
    <cellStyle name="Normal 5 3 5 2 4 4" xfId="10297" xr:uid="{A28AAE3C-5541-4C66-8937-BB2EB27CA5D1}"/>
    <cellStyle name="Normal 5 3 5 2 5" xfId="2172" xr:uid="{00000000-0005-0000-0000-0000721A0000}"/>
    <cellStyle name="Normal 5 3 5 2 5 2" xfId="4401" xr:uid="{00000000-0005-0000-0000-0000731A0000}"/>
    <cellStyle name="Normal 5 3 5 2 5 2 2" xfId="8623" xr:uid="{00000000-0005-0000-0000-0000741A0000}"/>
    <cellStyle name="Normal 5 3 5 2 5 2 2 2" xfId="17073" xr:uid="{C08ED8B8-A4DC-4F33-96DF-03E2B5F12DF6}"/>
    <cellStyle name="Normal 5 3 5 2 5 2 3" xfId="12855" xr:uid="{C7DF861B-A982-419D-8737-42D24E067F4A}"/>
    <cellStyle name="Normal 5 3 5 2 5 3" xfId="6478" xr:uid="{00000000-0005-0000-0000-0000751A0000}"/>
    <cellStyle name="Normal 5 3 5 2 5 3 2" xfId="14928" xr:uid="{DD381D2D-F012-4AC2-8ED6-AF4AE0F1FDC6}"/>
    <cellStyle name="Normal 5 3 5 2 5 4" xfId="10710" xr:uid="{22360D4F-4DB0-40C2-9464-6BFA02C3723A}"/>
    <cellStyle name="Normal 5 3 5 2 6" xfId="2608" xr:uid="{00000000-0005-0000-0000-0000761A0000}"/>
    <cellStyle name="Normal 5 3 5 2 6 2" xfId="6891" xr:uid="{00000000-0005-0000-0000-0000771A0000}"/>
    <cellStyle name="Normal 5 3 5 2 6 2 2" xfId="15341" xr:uid="{5F35DD93-27C1-4008-B5C5-77E01F8BB442}"/>
    <cellStyle name="Normal 5 3 5 2 6 3" xfId="11123" xr:uid="{DADE1047-C82A-433C-AE51-6EE49E0931F4}"/>
    <cellStyle name="Normal 5 3 5 2 7" xfId="4826" xr:uid="{00000000-0005-0000-0000-0000781A0000}"/>
    <cellStyle name="Normal 5 3 5 2 7 2" xfId="13276" xr:uid="{269053D7-0925-4090-8BE2-464D84731894}"/>
    <cellStyle name="Normal 5 3 5 2 8" xfId="9058" xr:uid="{E07A1872-8C2A-42B8-BA29-9354F1E935B0}"/>
    <cellStyle name="Normal 5 3 5 3" xfId="927" xr:uid="{00000000-0005-0000-0000-0000791A0000}"/>
    <cellStyle name="Normal 5 3 5 3 2" xfId="3161" xr:uid="{00000000-0005-0000-0000-00007A1A0000}"/>
    <cellStyle name="Normal 5 3 5 3 2 2" xfId="7383" xr:uid="{00000000-0005-0000-0000-00007B1A0000}"/>
    <cellStyle name="Normal 5 3 5 3 2 2 2" xfId="15833" xr:uid="{A38F65FA-F8C5-448E-ADF3-4D0B33EF5B7F}"/>
    <cellStyle name="Normal 5 3 5 3 2 3" xfId="11615" xr:uid="{ABAB7160-6764-4A68-AEAE-B2881972C785}"/>
    <cellStyle name="Normal 5 3 5 3 3" xfId="5238" xr:uid="{00000000-0005-0000-0000-00007C1A0000}"/>
    <cellStyle name="Normal 5 3 5 3 3 2" xfId="13688" xr:uid="{3ED5F9DB-722D-450E-8E07-DCBB3CA478F7}"/>
    <cellStyle name="Normal 5 3 5 3 4" xfId="9470" xr:uid="{29A4D7A9-4D39-434A-81CA-7AFA12786CEF}"/>
    <cellStyle name="Normal 5 3 5 4" xfId="1344" xr:uid="{00000000-0005-0000-0000-00007D1A0000}"/>
    <cellStyle name="Normal 5 3 5 4 2" xfId="3574" xr:uid="{00000000-0005-0000-0000-00007E1A0000}"/>
    <cellStyle name="Normal 5 3 5 4 2 2" xfId="7796" xr:uid="{00000000-0005-0000-0000-00007F1A0000}"/>
    <cellStyle name="Normal 5 3 5 4 2 2 2" xfId="16246" xr:uid="{0CFA1831-060A-46E4-8B11-0DCFD4099508}"/>
    <cellStyle name="Normal 5 3 5 4 2 3" xfId="12028" xr:uid="{A27ADB4A-C03D-4446-99A1-52DFE7AFC7E5}"/>
    <cellStyle name="Normal 5 3 5 4 3" xfId="5651" xr:uid="{00000000-0005-0000-0000-0000801A0000}"/>
    <cellStyle name="Normal 5 3 5 4 3 2" xfId="14101" xr:uid="{598AEF3A-06C2-4E3D-A723-4FE4E8CAE5DC}"/>
    <cellStyle name="Normal 5 3 5 4 4" xfId="9883" xr:uid="{778B84A2-6094-4AFF-9FAF-7469387F9989}"/>
    <cellStyle name="Normal 5 3 5 5" xfId="1757" xr:uid="{00000000-0005-0000-0000-0000811A0000}"/>
    <cellStyle name="Normal 5 3 5 5 2" xfId="3987" xr:uid="{00000000-0005-0000-0000-0000821A0000}"/>
    <cellStyle name="Normal 5 3 5 5 2 2" xfId="8209" xr:uid="{00000000-0005-0000-0000-0000831A0000}"/>
    <cellStyle name="Normal 5 3 5 5 2 2 2" xfId="16659" xr:uid="{6CB814BB-FC1A-48B2-88BC-E1E887F6BFB0}"/>
    <cellStyle name="Normal 5 3 5 5 2 3" xfId="12441" xr:uid="{276871A8-6AEA-4CCF-A5B0-8A6A5871CDFF}"/>
    <cellStyle name="Normal 5 3 5 5 3" xfId="6064" xr:uid="{00000000-0005-0000-0000-0000841A0000}"/>
    <cellStyle name="Normal 5 3 5 5 3 2" xfId="14514" xr:uid="{5858E64F-B13C-4DC0-90E5-546E075C085C}"/>
    <cellStyle name="Normal 5 3 5 5 4" xfId="10296" xr:uid="{9AFBDFF3-AC55-4BF3-92F7-E6086076371C}"/>
    <cellStyle name="Normal 5 3 5 6" xfId="2171" xr:uid="{00000000-0005-0000-0000-0000851A0000}"/>
    <cellStyle name="Normal 5 3 5 6 2" xfId="4400" xr:uid="{00000000-0005-0000-0000-0000861A0000}"/>
    <cellStyle name="Normal 5 3 5 6 2 2" xfId="8622" xr:uid="{00000000-0005-0000-0000-0000871A0000}"/>
    <cellStyle name="Normal 5 3 5 6 2 2 2" xfId="17072" xr:uid="{039C6697-B58F-43BC-85EC-BAAF2586AAA7}"/>
    <cellStyle name="Normal 5 3 5 6 2 3" xfId="12854" xr:uid="{366D1928-30DA-47D3-A71D-CFD2F3D5308D}"/>
    <cellStyle name="Normal 5 3 5 6 3" xfId="6477" xr:uid="{00000000-0005-0000-0000-0000881A0000}"/>
    <cellStyle name="Normal 5 3 5 6 3 2" xfId="14927" xr:uid="{A8AD40F2-FFB0-451F-93EE-6FDC3A79C6E9}"/>
    <cellStyle name="Normal 5 3 5 6 4" xfId="10709" xr:uid="{9FABA842-FC0C-4B60-9604-F7F96A3F76EF}"/>
    <cellStyle name="Normal 5 3 5 7" xfId="2607" xr:uid="{00000000-0005-0000-0000-0000891A0000}"/>
    <cellStyle name="Normal 5 3 5 7 2" xfId="6890" xr:uid="{00000000-0005-0000-0000-00008A1A0000}"/>
    <cellStyle name="Normal 5 3 5 7 2 2" xfId="15340" xr:uid="{013B18F3-1CFA-4C00-BD95-EBF08F5EF250}"/>
    <cellStyle name="Normal 5 3 5 7 3" xfId="11122" xr:uid="{E54986C2-40B0-4656-AC43-BF852284FED9}"/>
    <cellStyle name="Normal 5 3 5 8" xfId="4825" xr:uid="{00000000-0005-0000-0000-00008B1A0000}"/>
    <cellStyle name="Normal 5 3 5 8 2" xfId="13275" xr:uid="{CA8C1463-A0FD-4C96-80C4-A4FFDFD40C01}"/>
    <cellStyle name="Normal 5 3 5 9" xfId="9057" xr:uid="{1A496CE6-6B5E-46E6-AD39-C00B0986C221}"/>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2 2 2" xfId="15835" xr:uid="{53D6BB4C-8C33-4E06-A893-B6D030CDB0D8}"/>
    <cellStyle name="Normal 5 3 6 2 2 3" xfId="11617" xr:uid="{2313BEC5-C876-45D3-A31B-FD30226251D6}"/>
    <cellStyle name="Normal 5 3 6 2 3" xfId="5240" xr:uid="{00000000-0005-0000-0000-0000901A0000}"/>
    <cellStyle name="Normal 5 3 6 2 3 2" xfId="13690" xr:uid="{A06EB69C-8325-4025-89E0-BFD4D4D23449}"/>
    <cellStyle name="Normal 5 3 6 2 4" xfId="9472" xr:uid="{AD33A998-69DE-45CF-A55E-75BAC9D8ED10}"/>
    <cellStyle name="Normal 5 3 6 3" xfId="1346" xr:uid="{00000000-0005-0000-0000-0000911A0000}"/>
    <cellStyle name="Normal 5 3 6 3 2" xfId="3576" xr:uid="{00000000-0005-0000-0000-0000921A0000}"/>
    <cellStyle name="Normal 5 3 6 3 2 2" xfId="7798" xr:uid="{00000000-0005-0000-0000-0000931A0000}"/>
    <cellStyle name="Normal 5 3 6 3 2 2 2" xfId="16248" xr:uid="{A4EAD722-D4C1-4D9D-A9BA-810149E57FDF}"/>
    <cellStyle name="Normal 5 3 6 3 2 3" xfId="12030" xr:uid="{AE542D05-E87F-4275-8D26-34DA4450C465}"/>
    <cellStyle name="Normal 5 3 6 3 3" xfId="5653" xr:uid="{00000000-0005-0000-0000-0000941A0000}"/>
    <cellStyle name="Normal 5 3 6 3 3 2" xfId="14103" xr:uid="{3EC7DA56-18C4-479D-A03C-50C0FEFCA1EF}"/>
    <cellStyle name="Normal 5 3 6 3 4" xfId="9885" xr:uid="{9535DD23-113B-4473-A8CB-FBD4BCFEEDF0}"/>
    <cellStyle name="Normal 5 3 6 4" xfId="1759" xr:uid="{00000000-0005-0000-0000-0000951A0000}"/>
    <cellStyle name="Normal 5 3 6 4 2" xfId="3989" xr:uid="{00000000-0005-0000-0000-0000961A0000}"/>
    <cellStyle name="Normal 5 3 6 4 2 2" xfId="8211" xr:uid="{00000000-0005-0000-0000-0000971A0000}"/>
    <cellStyle name="Normal 5 3 6 4 2 2 2" xfId="16661" xr:uid="{BE0A5018-16CA-4495-87F4-E2F6980EFD15}"/>
    <cellStyle name="Normal 5 3 6 4 2 3" xfId="12443" xr:uid="{30737D9C-FBA2-4CBA-8544-2B4533855215}"/>
    <cellStyle name="Normal 5 3 6 4 3" xfId="6066" xr:uid="{00000000-0005-0000-0000-0000981A0000}"/>
    <cellStyle name="Normal 5 3 6 4 3 2" xfId="14516" xr:uid="{8EB2931F-AA7D-40CF-B4F9-FECF178D642E}"/>
    <cellStyle name="Normal 5 3 6 4 4" xfId="10298" xr:uid="{7AB41176-822F-43B4-939C-2B69D4D017E5}"/>
    <cellStyle name="Normal 5 3 6 5" xfId="2173" xr:uid="{00000000-0005-0000-0000-0000991A0000}"/>
    <cellStyle name="Normal 5 3 6 5 2" xfId="4402" xr:uid="{00000000-0005-0000-0000-00009A1A0000}"/>
    <cellStyle name="Normal 5 3 6 5 2 2" xfId="8624" xr:uid="{00000000-0005-0000-0000-00009B1A0000}"/>
    <cellStyle name="Normal 5 3 6 5 2 2 2" xfId="17074" xr:uid="{144E2B22-64F1-4615-9838-2421C28F3C41}"/>
    <cellStyle name="Normal 5 3 6 5 2 3" xfId="12856" xr:uid="{2038A15A-CEB6-434B-8857-E8856555D87B}"/>
    <cellStyle name="Normal 5 3 6 5 3" xfId="6479" xr:uid="{00000000-0005-0000-0000-00009C1A0000}"/>
    <cellStyle name="Normal 5 3 6 5 3 2" xfId="14929" xr:uid="{FF2BE639-77B8-4C2A-8168-76C6257B54DB}"/>
    <cellStyle name="Normal 5 3 6 5 4" xfId="10711" xr:uid="{2693C092-8AB4-4076-812A-47E8320AA8A5}"/>
    <cellStyle name="Normal 5 3 6 6" xfId="2609" xr:uid="{00000000-0005-0000-0000-00009D1A0000}"/>
    <cellStyle name="Normal 5 3 6 6 2" xfId="6892" xr:uid="{00000000-0005-0000-0000-00009E1A0000}"/>
    <cellStyle name="Normal 5 3 6 6 2 2" xfId="15342" xr:uid="{6B25332F-493F-462E-A10B-67586C14174D}"/>
    <cellStyle name="Normal 5 3 6 6 3" xfId="11124" xr:uid="{0CA83F76-723A-4D92-AD4B-865F89CAB7C9}"/>
    <cellStyle name="Normal 5 3 6 7" xfId="4827" xr:uid="{00000000-0005-0000-0000-00009F1A0000}"/>
    <cellStyle name="Normal 5 3 6 7 2" xfId="13277" xr:uid="{646B67BC-BBF3-4F80-8BC5-8D445B3C69D2}"/>
    <cellStyle name="Normal 5 3 6 8" xfId="9059" xr:uid="{544BF9C8-21C0-4A56-AD30-74B421831CEC}"/>
    <cellStyle name="Normal 5 3 7" xfId="913" xr:uid="{00000000-0005-0000-0000-0000A01A0000}"/>
    <cellStyle name="Normal 5 3 7 2" xfId="3148" xr:uid="{00000000-0005-0000-0000-0000A11A0000}"/>
    <cellStyle name="Normal 5 3 7 2 2" xfId="7370" xr:uid="{00000000-0005-0000-0000-0000A21A0000}"/>
    <cellStyle name="Normal 5 3 7 2 2 2" xfId="15820" xr:uid="{873DC844-950B-44BB-8B0A-D52CCC181D3B}"/>
    <cellStyle name="Normal 5 3 7 2 3" xfId="11602" xr:uid="{374D449C-B03F-45C3-BA6B-C6D1716CF3A1}"/>
    <cellStyle name="Normal 5 3 7 3" xfId="5225" xr:uid="{00000000-0005-0000-0000-0000A31A0000}"/>
    <cellStyle name="Normal 5 3 7 3 2" xfId="13675" xr:uid="{630F9D6E-3D00-49CA-980A-F172F1F07C93}"/>
    <cellStyle name="Normal 5 3 7 4" xfId="9457" xr:uid="{FF0D1597-103C-44C3-8467-5F755C12B1CB}"/>
    <cellStyle name="Normal 5 3 8" xfId="1331" xr:uid="{00000000-0005-0000-0000-0000A41A0000}"/>
    <cellStyle name="Normal 5 3 8 2" xfId="3561" xr:uid="{00000000-0005-0000-0000-0000A51A0000}"/>
    <cellStyle name="Normal 5 3 8 2 2" xfId="7783" xr:uid="{00000000-0005-0000-0000-0000A61A0000}"/>
    <cellStyle name="Normal 5 3 8 2 2 2" xfId="16233" xr:uid="{7FE366CF-C7C4-49C4-B0C4-A075090259AD}"/>
    <cellStyle name="Normal 5 3 8 2 3" xfId="12015" xr:uid="{9E790B26-BA42-4C7A-BDBE-AD1D20A26017}"/>
    <cellStyle name="Normal 5 3 8 3" xfId="5638" xr:uid="{00000000-0005-0000-0000-0000A71A0000}"/>
    <cellStyle name="Normal 5 3 8 3 2" xfId="14088" xr:uid="{A4E75766-BFEC-4FB7-AD67-50A0A6DAAE1C}"/>
    <cellStyle name="Normal 5 3 8 4" xfId="9870" xr:uid="{B4F48953-64D2-4ED5-9CF4-244E0262B055}"/>
    <cellStyle name="Normal 5 3 9" xfId="1744" xr:uid="{00000000-0005-0000-0000-0000A81A0000}"/>
    <cellStyle name="Normal 5 3 9 2" xfId="3974" xr:uid="{00000000-0005-0000-0000-0000A91A0000}"/>
    <cellStyle name="Normal 5 3 9 2 2" xfId="8196" xr:uid="{00000000-0005-0000-0000-0000AA1A0000}"/>
    <cellStyle name="Normal 5 3 9 2 2 2" xfId="16646" xr:uid="{C1EAEE5F-04C5-4B14-81A6-30F52B693BB6}"/>
    <cellStyle name="Normal 5 3 9 2 3" xfId="12428" xr:uid="{FA28259A-EFEB-474A-A5C4-D7A15C2817B8}"/>
    <cellStyle name="Normal 5 3 9 3" xfId="6051" xr:uid="{00000000-0005-0000-0000-0000AB1A0000}"/>
    <cellStyle name="Normal 5 3 9 3 2" xfId="14501" xr:uid="{F03A558F-47EA-446B-9F02-334AF7F0CC85}"/>
    <cellStyle name="Normal 5 3 9 4" xfId="10283" xr:uid="{CE7CA8D5-6CB6-4E3E-9C88-1563DC37253F}"/>
    <cellStyle name="Normal 5 4" xfId="456" xr:uid="{00000000-0005-0000-0000-0000AC1A0000}"/>
    <cellStyle name="Normal 5 4 10" xfId="4828" xr:uid="{00000000-0005-0000-0000-0000AD1A0000}"/>
    <cellStyle name="Normal 5 4 10 2" xfId="13278" xr:uid="{E7E36B2D-996D-4E58-AE36-9834E532D58B}"/>
    <cellStyle name="Normal 5 4 11" xfId="9060" xr:uid="{20C33C7E-8466-47BC-85BF-5CB7408C14BA}"/>
    <cellStyle name="Normal 5 4 2" xfId="457" xr:uid="{00000000-0005-0000-0000-0000AE1A0000}"/>
    <cellStyle name="Normal 5 4 2 10" xfId="9061" xr:uid="{69DF1106-16BE-4C82-8FC6-2BB6EDBA565C}"/>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2 2 2" xfId="15839" xr:uid="{EE2D0004-8AF7-4E0F-9CBC-3E5255AAE7C5}"/>
    <cellStyle name="Normal 5 4 2 2 2 2 2 3" xfId="11621" xr:uid="{B8432618-878F-48E9-BA58-10A67467DA52}"/>
    <cellStyle name="Normal 5 4 2 2 2 2 3" xfId="5244" xr:uid="{00000000-0005-0000-0000-0000B41A0000}"/>
    <cellStyle name="Normal 5 4 2 2 2 2 3 2" xfId="13694" xr:uid="{95BF982E-2B7D-4B2B-8132-49AD8F82159D}"/>
    <cellStyle name="Normal 5 4 2 2 2 2 4" xfId="9476" xr:uid="{DF89E001-6089-4400-B486-FA1E696C2329}"/>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2 2 2" xfId="16252" xr:uid="{3A6AD972-04D3-4D55-83AA-0FC67D342C23}"/>
    <cellStyle name="Normal 5 4 2 2 2 3 2 3" xfId="12034" xr:uid="{62A0C2FD-DF2A-42C2-AA5B-A88FDDBA434E}"/>
    <cellStyle name="Normal 5 4 2 2 2 3 3" xfId="5657" xr:uid="{00000000-0005-0000-0000-0000B81A0000}"/>
    <cellStyle name="Normal 5 4 2 2 2 3 3 2" xfId="14107" xr:uid="{E9965E25-136E-4EEC-AC53-885B0C274E8F}"/>
    <cellStyle name="Normal 5 4 2 2 2 3 4" xfId="9889" xr:uid="{986C76C3-6205-4A5C-BDC8-FB0155D8AE31}"/>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2 2 2" xfId="16665" xr:uid="{2C794CD0-FF57-40BC-A9FA-042BE8DC3CE2}"/>
    <cellStyle name="Normal 5 4 2 2 2 4 2 3" xfId="12447" xr:uid="{D5AB4E21-4DB4-4415-B205-B8AC6B1A3FC5}"/>
    <cellStyle name="Normal 5 4 2 2 2 4 3" xfId="6070" xr:uid="{00000000-0005-0000-0000-0000BC1A0000}"/>
    <cellStyle name="Normal 5 4 2 2 2 4 3 2" xfId="14520" xr:uid="{82028B9D-2E7E-435C-A02E-CC589237B8E0}"/>
    <cellStyle name="Normal 5 4 2 2 2 4 4" xfId="10302" xr:uid="{0F9D1694-BAEE-4F85-AC99-3B9599B424F1}"/>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2 2 2" xfId="17078" xr:uid="{37689243-0FAB-46FB-BA9B-E7628C31FAA6}"/>
    <cellStyle name="Normal 5 4 2 2 2 5 2 3" xfId="12860" xr:uid="{3CD2C546-5245-4C06-ABF2-6ED07ECD6F3A}"/>
    <cellStyle name="Normal 5 4 2 2 2 5 3" xfId="6483" xr:uid="{00000000-0005-0000-0000-0000C01A0000}"/>
    <cellStyle name="Normal 5 4 2 2 2 5 3 2" xfId="14933" xr:uid="{3ED73AA3-FCF4-4B3B-AC71-2154C67442D4}"/>
    <cellStyle name="Normal 5 4 2 2 2 5 4" xfId="10715" xr:uid="{E826248E-ABA3-414E-817C-1EE76DBDF8D5}"/>
    <cellStyle name="Normal 5 4 2 2 2 6" xfId="2613" xr:uid="{00000000-0005-0000-0000-0000C11A0000}"/>
    <cellStyle name="Normal 5 4 2 2 2 6 2" xfId="6896" xr:uid="{00000000-0005-0000-0000-0000C21A0000}"/>
    <cellStyle name="Normal 5 4 2 2 2 6 2 2" xfId="15346" xr:uid="{600D6093-19CF-4595-B869-21947984704E}"/>
    <cellStyle name="Normal 5 4 2 2 2 6 3" xfId="11128" xr:uid="{7FBCB9FB-74C3-40C8-A0ED-6016EC272947}"/>
    <cellStyle name="Normal 5 4 2 2 2 7" xfId="4831" xr:uid="{00000000-0005-0000-0000-0000C31A0000}"/>
    <cellStyle name="Normal 5 4 2 2 2 7 2" xfId="13281" xr:uid="{D0302ED4-070C-401D-833C-D26BD28A78B1}"/>
    <cellStyle name="Normal 5 4 2 2 2 8" xfId="9063" xr:uid="{D9B6A2ED-1AE3-4F6F-82EA-33ACA180033E}"/>
    <cellStyle name="Normal 5 4 2 2 3" xfId="932" xr:uid="{00000000-0005-0000-0000-0000C41A0000}"/>
    <cellStyle name="Normal 5 4 2 2 3 2" xfId="3166" xr:uid="{00000000-0005-0000-0000-0000C51A0000}"/>
    <cellStyle name="Normal 5 4 2 2 3 2 2" xfId="7388" xr:uid="{00000000-0005-0000-0000-0000C61A0000}"/>
    <cellStyle name="Normal 5 4 2 2 3 2 2 2" xfId="15838" xr:uid="{C0E3093E-FEAD-443D-B227-FE58F4E7A45B}"/>
    <cellStyle name="Normal 5 4 2 2 3 2 3" xfId="11620" xr:uid="{B7630C90-E55F-43F6-8208-2C0220654FD0}"/>
    <cellStyle name="Normal 5 4 2 2 3 3" xfId="5243" xr:uid="{00000000-0005-0000-0000-0000C71A0000}"/>
    <cellStyle name="Normal 5 4 2 2 3 3 2" xfId="13693" xr:uid="{561C56D2-5FCC-42FB-ACF0-FDE0F1ED0335}"/>
    <cellStyle name="Normal 5 4 2 2 3 4" xfId="9475" xr:uid="{C705CD4A-71B5-4277-B6A4-CD4FBBE7DACF}"/>
    <cellStyle name="Normal 5 4 2 2 4" xfId="1349" xr:uid="{00000000-0005-0000-0000-0000C81A0000}"/>
    <cellStyle name="Normal 5 4 2 2 4 2" xfId="3579" xr:uid="{00000000-0005-0000-0000-0000C91A0000}"/>
    <cellStyle name="Normal 5 4 2 2 4 2 2" xfId="7801" xr:uid="{00000000-0005-0000-0000-0000CA1A0000}"/>
    <cellStyle name="Normal 5 4 2 2 4 2 2 2" xfId="16251" xr:uid="{B720877F-DA11-47A3-BF72-BA75CE7E74BC}"/>
    <cellStyle name="Normal 5 4 2 2 4 2 3" xfId="12033" xr:uid="{24BF5734-318C-43C9-AD27-3217384F24C2}"/>
    <cellStyle name="Normal 5 4 2 2 4 3" xfId="5656" xr:uid="{00000000-0005-0000-0000-0000CB1A0000}"/>
    <cellStyle name="Normal 5 4 2 2 4 3 2" xfId="14106" xr:uid="{279B14E7-AE5B-4852-ABAA-216570151772}"/>
    <cellStyle name="Normal 5 4 2 2 4 4" xfId="9888" xr:uid="{8B4F5020-8B7E-4DED-BD27-2D63E421E747}"/>
    <cellStyle name="Normal 5 4 2 2 5" xfId="1762" xr:uid="{00000000-0005-0000-0000-0000CC1A0000}"/>
    <cellStyle name="Normal 5 4 2 2 5 2" xfId="3992" xr:uid="{00000000-0005-0000-0000-0000CD1A0000}"/>
    <cellStyle name="Normal 5 4 2 2 5 2 2" xfId="8214" xr:uid="{00000000-0005-0000-0000-0000CE1A0000}"/>
    <cellStyle name="Normal 5 4 2 2 5 2 2 2" xfId="16664" xr:uid="{CBA9F7FA-025A-447C-AD09-F7436EDF8957}"/>
    <cellStyle name="Normal 5 4 2 2 5 2 3" xfId="12446" xr:uid="{A69DA6C6-1335-460F-AAD7-E10BDD2A25ED}"/>
    <cellStyle name="Normal 5 4 2 2 5 3" xfId="6069" xr:uid="{00000000-0005-0000-0000-0000CF1A0000}"/>
    <cellStyle name="Normal 5 4 2 2 5 3 2" xfId="14519" xr:uid="{CFD499E1-B1F2-44C4-9592-070009B8350E}"/>
    <cellStyle name="Normal 5 4 2 2 5 4" xfId="10301" xr:uid="{0A638342-125C-4646-807C-C87D7990723D}"/>
    <cellStyle name="Normal 5 4 2 2 6" xfId="2176" xr:uid="{00000000-0005-0000-0000-0000D01A0000}"/>
    <cellStyle name="Normal 5 4 2 2 6 2" xfId="4405" xr:uid="{00000000-0005-0000-0000-0000D11A0000}"/>
    <cellStyle name="Normal 5 4 2 2 6 2 2" xfId="8627" xr:uid="{00000000-0005-0000-0000-0000D21A0000}"/>
    <cellStyle name="Normal 5 4 2 2 6 2 2 2" xfId="17077" xr:uid="{5BD21DD9-9AB9-45E6-94C9-9035D6F4322C}"/>
    <cellStyle name="Normal 5 4 2 2 6 2 3" xfId="12859" xr:uid="{BFE07AC1-7C6E-441E-A4E3-5571C90066C8}"/>
    <cellStyle name="Normal 5 4 2 2 6 3" xfId="6482" xr:uid="{00000000-0005-0000-0000-0000D31A0000}"/>
    <cellStyle name="Normal 5 4 2 2 6 3 2" xfId="14932" xr:uid="{011041DB-F104-428C-A0D2-9ECEF1D16B50}"/>
    <cellStyle name="Normal 5 4 2 2 6 4" xfId="10714" xr:uid="{869A4BAF-52CE-429B-905E-9CF468BE3B98}"/>
    <cellStyle name="Normal 5 4 2 2 7" xfId="2612" xr:uid="{00000000-0005-0000-0000-0000D41A0000}"/>
    <cellStyle name="Normal 5 4 2 2 7 2" xfId="6895" xr:uid="{00000000-0005-0000-0000-0000D51A0000}"/>
    <cellStyle name="Normal 5 4 2 2 7 2 2" xfId="15345" xr:uid="{CB3BF758-6C84-43B9-86F8-32F1A9FBC866}"/>
    <cellStyle name="Normal 5 4 2 2 7 3" xfId="11127" xr:uid="{BD83D16A-A24E-4FDA-A9C2-2B89A3DD10E2}"/>
    <cellStyle name="Normal 5 4 2 2 8" xfId="4830" xr:uid="{00000000-0005-0000-0000-0000D61A0000}"/>
    <cellStyle name="Normal 5 4 2 2 8 2" xfId="13280" xr:uid="{BBBD7D35-CFC6-4BE7-A189-A5DABBF6DDDB}"/>
    <cellStyle name="Normal 5 4 2 2 9" xfId="9062" xr:uid="{4D336596-54CC-446C-84AC-B3085AF57EBD}"/>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2 2 2" xfId="15840" xr:uid="{1E1F3D80-BD49-4FA2-AC86-85DDD1761431}"/>
    <cellStyle name="Normal 5 4 2 3 2 2 3" xfId="11622" xr:uid="{73C805FB-A585-4D54-AB3D-0CAD2696C244}"/>
    <cellStyle name="Normal 5 4 2 3 2 3" xfId="5245" xr:uid="{00000000-0005-0000-0000-0000DB1A0000}"/>
    <cellStyle name="Normal 5 4 2 3 2 3 2" xfId="13695" xr:uid="{B85B8D2F-0664-4B84-98BA-56FE8329598B}"/>
    <cellStyle name="Normal 5 4 2 3 2 4" xfId="9477" xr:uid="{7301F026-521A-4404-909C-58866A4C69F2}"/>
    <cellStyle name="Normal 5 4 2 3 3" xfId="1351" xr:uid="{00000000-0005-0000-0000-0000DC1A0000}"/>
    <cellStyle name="Normal 5 4 2 3 3 2" xfId="3581" xr:uid="{00000000-0005-0000-0000-0000DD1A0000}"/>
    <cellStyle name="Normal 5 4 2 3 3 2 2" xfId="7803" xr:uid="{00000000-0005-0000-0000-0000DE1A0000}"/>
    <cellStyle name="Normal 5 4 2 3 3 2 2 2" xfId="16253" xr:uid="{706327A5-B4BF-45C8-9CF2-BDD161164302}"/>
    <cellStyle name="Normal 5 4 2 3 3 2 3" xfId="12035" xr:uid="{14ED0622-92A9-442D-A387-A8EAFE367E0D}"/>
    <cellStyle name="Normal 5 4 2 3 3 3" xfId="5658" xr:uid="{00000000-0005-0000-0000-0000DF1A0000}"/>
    <cellStyle name="Normal 5 4 2 3 3 3 2" xfId="14108" xr:uid="{7ECD090F-1D8B-4FF5-AD4E-0007B2CCB4E2}"/>
    <cellStyle name="Normal 5 4 2 3 3 4" xfId="9890" xr:uid="{B3601236-3C0F-441A-8263-46135AE73B80}"/>
    <cellStyle name="Normal 5 4 2 3 4" xfId="1764" xr:uid="{00000000-0005-0000-0000-0000E01A0000}"/>
    <cellStyle name="Normal 5 4 2 3 4 2" xfId="3994" xr:uid="{00000000-0005-0000-0000-0000E11A0000}"/>
    <cellStyle name="Normal 5 4 2 3 4 2 2" xfId="8216" xr:uid="{00000000-0005-0000-0000-0000E21A0000}"/>
    <cellStyle name="Normal 5 4 2 3 4 2 2 2" xfId="16666" xr:uid="{9D1DEC1D-F6C8-437B-BA6B-ED0FE7E02901}"/>
    <cellStyle name="Normal 5 4 2 3 4 2 3" xfId="12448" xr:uid="{49764F6C-3C46-49BC-81F5-83384C53A34B}"/>
    <cellStyle name="Normal 5 4 2 3 4 3" xfId="6071" xr:uid="{00000000-0005-0000-0000-0000E31A0000}"/>
    <cellStyle name="Normal 5 4 2 3 4 3 2" xfId="14521" xr:uid="{44505FF1-8ACE-42E2-9B8F-543D30C5C4CE}"/>
    <cellStyle name="Normal 5 4 2 3 4 4" xfId="10303" xr:uid="{0875C733-FBAA-4B0F-8DFD-2A32027D5CEB}"/>
    <cellStyle name="Normal 5 4 2 3 5" xfId="2178" xr:uid="{00000000-0005-0000-0000-0000E41A0000}"/>
    <cellStyle name="Normal 5 4 2 3 5 2" xfId="4407" xr:uid="{00000000-0005-0000-0000-0000E51A0000}"/>
    <cellStyle name="Normal 5 4 2 3 5 2 2" xfId="8629" xr:uid="{00000000-0005-0000-0000-0000E61A0000}"/>
    <cellStyle name="Normal 5 4 2 3 5 2 2 2" xfId="17079" xr:uid="{77D9CF36-1015-4113-88FE-9A6060A84D56}"/>
    <cellStyle name="Normal 5 4 2 3 5 2 3" xfId="12861" xr:uid="{D99198C2-E65E-48DE-A378-7BBF40590BF2}"/>
    <cellStyle name="Normal 5 4 2 3 5 3" xfId="6484" xr:uid="{00000000-0005-0000-0000-0000E71A0000}"/>
    <cellStyle name="Normal 5 4 2 3 5 3 2" xfId="14934" xr:uid="{82385599-8B07-4B17-9D51-A417D0BBB08A}"/>
    <cellStyle name="Normal 5 4 2 3 5 4" xfId="10716" xr:uid="{6ABDF065-6817-4B76-8BA8-AF4ECCC1A684}"/>
    <cellStyle name="Normal 5 4 2 3 6" xfId="2614" xr:uid="{00000000-0005-0000-0000-0000E81A0000}"/>
    <cellStyle name="Normal 5 4 2 3 6 2" xfId="6897" xr:uid="{00000000-0005-0000-0000-0000E91A0000}"/>
    <cellStyle name="Normal 5 4 2 3 6 2 2" xfId="15347" xr:uid="{C9924530-CCD3-497B-88C9-D5B1E71F7EB4}"/>
    <cellStyle name="Normal 5 4 2 3 6 3" xfId="11129" xr:uid="{BFE288EF-A8FE-4F15-8796-F0F0307F428F}"/>
    <cellStyle name="Normal 5 4 2 3 7" xfId="4832" xr:uid="{00000000-0005-0000-0000-0000EA1A0000}"/>
    <cellStyle name="Normal 5 4 2 3 7 2" xfId="13282" xr:uid="{A99A6EEA-01D2-4558-9AB3-4D2F82663CBF}"/>
    <cellStyle name="Normal 5 4 2 3 8" xfId="9064" xr:uid="{11B94B44-667D-41FD-B195-74E4BE9E10B9}"/>
    <cellStyle name="Normal 5 4 2 4" xfId="931" xr:uid="{00000000-0005-0000-0000-0000EB1A0000}"/>
    <cellStyle name="Normal 5 4 2 4 2" xfId="3165" xr:uid="{00000000-0005-0000-0000-0000EC1A0000}"/>
    <cellStyle name="Normal 5 4 2 4 2 2" xfId="7387" xr:uid="{00000000-0005-0000-0000-0000ED1A0000}"/>
    <cellStyle name="Normal 5 4 2 4 2 2 2" xfId="15837" xr:uid="{FA6BDEA8-AC63-471A-8570-334B602320FA}"/>
    <cellStyle name="Normal 5 4 2 4 2 3" xfId="11619" xr:uid="{3E7EC71A-48A4-4873-8F7F-82BEE6645CA5}"/>
    <cellStyle name="Normal 5 4 2 4 3" xfId="5242" xr:uid="{00000000-0005-0000-0000-0000EE1A0000}"/>
    <cellStyle name="Normal 5 4 2 4 3 2" xfId="13692" xr:uid="{F1373FA2-4452-4A77-9AAD-98E4C24A9018}"/>
    <cellStyle name="Normal 5 4 2 4 4" xfId="9474" xr:uid="{D6213955-1E0F-4585-A37A-165F6970B3FD}"/>
    <cellStyle name="Normal 5 4 2 5" xfId="1348" xr:uid="{00000000-0005-0000-0000-0000EF1A0000}"/>
    <cellStyle name="Normal 5 4 2 5 2" xfId="3578" xr:uid="{00000000-0005-0000-0000-0000F01A0000}"/>
    <cellStyle name="Normal 5 4 2 5 2 2" xfId="7800" xr:uid="{00000000-0005-0000-0000-0000F11A0000}"/>
    <cellStyle name="Normal 5 4 2 5 2 2 2" xfId="16250" xr:uid="{71578CA5-D14F-4147-AB4A-69B51C2646E2}"/>
    <cellStyle name="Normal 5 4 2 5 2 3" xfId="12032" xr:uid="{69EF29D4-CF61-4F17-9529-384A00FDF4B3}"/>
    <cellStyle name="Normal 5 4 2 5 3" xfId="5655" xr:uid="{00000000-0005-0000-0000-0000F21A0000}"/>
    <cellStyle name="Normal 5 4 2 5 3 2" xfId="14105" xr:uid="{40A28CA8-E110-4A2A-A916-C06471F682A1}"/>
    <cellStyle name="Normal 5 4 2 5 4" xfId="9887" xr:uid="{B4977189-FACE-47BB-A741-6E342C3185C2}"/>
    <cellStyle name="Normal 5 4 2 6" xfId="1761" xr:uid="{00000000-0005-0000-0000-0000F31A0000}"/>
    <cellStyle name="Normal 5 4 2 6 2" xfId="3991" xr:uid="{00000000-0005-0000-0000-0000F41A0000}"/>
    <cellStyle name="Normal 5 4 2 6 2 2" xfId="8213" xr:uid="{00000000-0005-0000-0000-0000F51A0000}"/>
    <cellStyle name="Normal 5 4 2 6 2 2 2" xfId="16663" xr:uid="{6E62D404-D173-42E9-B169-B9C004DBE4B6}"/>
    <cellStyle name="Normal 5 4 2 6 2 3" xfId="12445" xr:uid="{D48B9DE7-C919-4CC3-937A-71519E043FD3}"/>
    <cellStyle name="Normal 5 4 2 6 3" xfId="6068" xr:uid="{00000000-0005-0000-0000-0000F61A0000}"/>
    <cellStyle name="Normal 5 4 2 6 3 2" xfId="14518" xr:uid="{238A7639-4C11-44A9-8A5B-6C954DC36AA6}"/>
    <cellStyle name="Normal 5 4 2 6 4" xfId="10300" xr:uid="{DCBB8F2E-2EFF-468D-ABCA-BE37AE0992C3}"/>
    <cellStyle name="Normal 5 4 2 7" xfId="2175" xr:uid="{00000000-0005-0000-0000-0000F71A0000}"/>
    <cellStyle name="Normal 5 4 2 7 2" xfId="4404" xr:uid="{00000000-0005-0000-0000-0000F81A0000}"/>
    <cellStyle name="Normal 5 4 2 7 2 2" xfId="8626" xr:uid="{00000000-0005-0000-0000-0000F91A0000}"/>
    <cellStyle name="Normal 5 4 2 7 2 2 2" xfId="17076" xr:uid="{C20D0468-3711-481B-9AAD-4F4890AF93DB}"/>
    <cellStyle name="Normal 5 4 2 7 2 3" xfId="12858" xr:uid="{80681E37-3EDB-438E-8047-67372EC06793}"/>
    <cellStyle name="Normal 5 4 2 7 3" xfId="6481" xr:uid="{00000000-0005-0000-0000-0000FA1A0000}"/>
    <cellStyle name="Normal 5 4 2 7 3 2" xfId="14931" xr:uid="{0C6422F7-2EE1-42D9-9466-A1C17115BFDF}"/>
    <cellStyle name="Normal 5 4 2 7 4" xfId="10713" xr:uid="{19EB02D1-1C72-4585-8419-45C0BC322856}"/>
    <cellStyle name="Normal 5 4 2 8" xfId="2611" xr:uid="{00000000-0005-0000-0000-0000FB1A0000}"/>
    <cellStyle name="Normal 5 4 2 8 2" xfId="6894" xr:uid="{00000000-0005-0000-0000-0000FC1A0000}"/>
    <cellStyle name="Normal 5 4 2 8 2 2" xfId="15344" xr:uid="{4EA200EB-1758-4BC9-9A38-C377BD5B3BDD}"/>
    <cellStyle name="Normal 5 4 2 8 3" xfId="11126" xr:uid="{52387687-AD5A-4B60-9815-A06B8F7239B4}"/>
    <cellStyle name="Normal 5 4 2 9" xfId="4829" xr:uid="{00000000-0005-0000-0000-0000FD1A0000}"/>
    <cellStyle name="Normal 5 4 2 9 2" xfId="13279" xr:uid="{AB46B53E-EBAD-4D0C-9D72-6EC70AE91EFA}"/>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2 2 2" xfId="15842" xr:uid="{B5EA3146-A8AB-449B-84B4-25D85E250C72}"/>
    <cellStyle name="Normal 5 4 3 2 2 2 3" xfId="11624" xr:uid="{57A99BCE-67C9-41CE-B628-52871407E288}"/>
    <cellStyle name="Normal 5 4 3 2 2 3" xfId="5247" xr:uid="{00000000-0005-0000-0000-0000031B0000}"/>
    <cellStyle name="Normal 5 4 3 2 2 3 2" xfId="13697" xr:uid="{2F22212E-D0F6-45F2-AC14-BEDD7DCA93F4}"/>
    <cellStyle name="Normal 5 4 3 2 2 4" xfId="9479" xr:uid="{00389AAB-1E07-4E6E-B5A1-56D883D4A402}"/>
    <cellStyle name="Normal 5 4 3 2 3" xfId="1353" xr:uid="{00000000-0005-0000-0000-0000041B0000}"/>
    <cellStyle name="Normal 5 4 3 2 3 2" xfId="3583" xr:uid="{00000000-0005-0000-0000-0000051B0000}"/>
    <cellStyle name="Normal 5 4 3 2 3 2 2" xfId="7805" xr:uid="{00000000-0005-0000-0000-0000061B0000}"/>
    <cellStyle name="Normal 5 4 3 2 3 2 2 2" xfId="16255" xr:uid="{1CC00F6B-B3F1-4BB2-BD9A-1ECF91359BA7}"/>
    <cellStyle name="Normal 5 4 3 2 3 2 3" xfId="12037" xr:uid="{FE0C3017-E8C3-484A-BACE-5C7428E5F88E}"/>
    <cellStyle name="Normal 5 4 3 2 3 3" xfId="5660" xr:uid="{00000000-0005-0000-0000-0000071B0000}"/>
    <cellStyle name="Normal 5 4 3 2 3 3 2" xfId="14110" xr:uid="{514AFD9C-8934-4077-94EC-C0B8D37356B8}"/>
    <cellStyle name="Normal 5 4 3 2 3 4" xfId="9892" xr:uid="{2CD61D57-56CE-4054-A244-4E3466869C27}"/>
    <cellStyle name="Normal 5 4 3 2 4" xfId="1766" xr:uid="{00000000-0005-0000-0000-0000081B0000}"/>
    <cellStyle name="Normal 5 4 3 2 4 2" xfId="3996" xr:uid="{00000000-0005-0000-0000-0000091B0000}"/>
    <cellStyle name="Normal 5 4 3 2 4 2 2" xfId="8218" xr:uid="{00000000-0005-0000-0000-00000A1B0000}"/>
    <cellStyle name="Normal 5 4 3 2 4 2 2 2" xfId="16668" xr:uid="{08364BD3-01F4-4512-9FF0-E17E270A39D0}"/>
    <cellStyle name="Normal 5 4 3 2 4 2 3" xfId="12450" xr:uid="{F8AEF816-F585-4850-B0E0-E899218918BF}"/>
    <cellStyle name="Normal 5 4 3 2 4 3" xfId="6073" xr:uid="{00000000-0005-0000-0000-00000B1B0000}"/>
    <cellStyle name="Normal 5 4 3 2 4 3 2" xfId="14523" xr:uid="{EEA9D13C-7328-4CD1-9D4C-331600E892CC}"/>
    <cellStyle name="Normal 5 4 3 2 4 4" xfId="10305" xr:uid="{47ED2EC5-A99A-4F51-B13D-ED36871B4FFB}"/>
    <cellStyle name="Normal 5 4 3 2 5" xfId="2180" xr:uid="{00000000-0005-0000-0000-00000C1B0000}"/>
    <cellStyle name="Normal 5 4 3 2 5 2" xfId="4409" xr:uid="{00000000-0005-0000-0000-00000D1B0000}"/>
    <cellStyle name="Normal 5 4 3 2 5 2 2" xfId="8631" xr:uid="{00000000-0005-0000-0000-00000E1B0000}"/>
    <cellStyle name="Normal 5 4 3 2 5 2 2 2" xfId="17081" xr:uid="{CE45F667-8642-4C87-A10A-C1B247CE17F7}"/>
    <cellStyle name="Normal 5 4 3 2 5 2 3" xfId="12863" xr:uid="{2B32B1C3-604B-405F-9E39-83FA20439C1D}"/>
    <cellStyle name="Normal 5 4 3 2 5 3" xfId="6486" xr:uid="{00000000-0005-0000-0000-00000F1B0000}"/>
    <cellStyle name="Normal 5 4 3 2 5 3 2" xfId="14936" xr:uid="{77EAC2E8-B812-44DE-B640-3E64519BCDC2}"/>
    <cellStyle name="Normal 5 4 3 2 5 4" xfId="10718" xr:uid="{48F1F5D4-C44E-4177-B134-801C56C5FFFC}"/>
    <cellStyle name="Normal 5 4 3 2 6" xfId="2616" xr:uid="{00000000-0005-0000-0000-0000101B0000}"/>
    <cellStyle name="Normal 5 4 3 2 6 2" xfId="6899" xr:uid="{00000000-0005-0000-0000-0000111B0000}"/>
    <cellStyle name="Normal 5 4 3 2 6 2 2" xfId="15349" xr:uid="{A573556F-3CBC-4134-8800-CF2894AA7677}"/>
    <cellStyle name="Normal 5 4 3 2 6 3" xfId="11131" xr:uid="{F525DC9C-1A7E-4703-905E-3561C13813F4}"/>
    <cellStyle name="Normal 5 4 3 2 7" xfId="4834" xr:uid="{00000000-0005-0000-0000-0000121B0000}"/>
    <cellStyle name="Normal 5 4 3 2 7 2" xfId="13284" xr:uid="{7BDD2A79-71D9-4B8C-B9E6-4531A15FC8C2}"/>
    <cellStyle name="Normal 5 4 3 2 8" xfId="9066" xr:uid="{BBDF2912-4919-4EE4-8587-B5E071269BA0}"/>
    <cellStyle name="Normal 5 4 3 3" xfId="935" xr:uid="{00000000-0005-0000-0000-0000131B0000}"/>
    <cellStyle name="Normal 5 4 3 3 2" xfId="3169" xr:uid="{00000000-0005-0000-0000-0000141B0000}"/>
    <cellStyle name="Normal 5 4 3 3 2 2" xfId="7391" xr:uid="{00000000-0005-0000-0000-0000151B0000}"/>
    <cellStyle name="Normal 5 4 3 3 2 2 2" xfId="15841" xr:uid="{6AE40628-23C6-4C5D-A36A-D4CB4588384D}"/>
    <cellStyle name="Normal 5 4 3 3 2 3" xfId="11623" xr:uid="{75EF4396-7383-442A-8372-E38E2AD919DE}"/>
    <cellStyle name="Normal 5 4 3 3 3" xfId="5246" xr:uid="{00000000-0005-0000-0000-0000161B0000}"/>
    <cellStyle name="Normal 5 4 3 3 3 2" xfId="13696" xr:uid="{CCF002CB-5405-4FA7-B76A-1502F510A532}"/>
    <cellStyle name="Normal 5 4 3 3 4" xfId="9478" xr:uid="{524B7C98-7B85-43A4-8E7D-8CA1962FF7A3}"/>
    <cellStyle name="Normal 5 4 3 4" xfId="1352" xr:uid="{00000000-0005-0000-0000-0000171B0000}"/>
    <cellStyle name="Normal 5 4 3 4 2" xfId="3582" xr:uid="{00000000-0005-0000-0000-0000181B0000}"/>
    <cellStyle name="Normal 5 4 3 4 2 2" xfId="7804" xr:uid="{00000000-0005-0000-0000-0000191B0000}"/>
    <cellStyle name="Normal 5 4 3 4 2 2 2" xfId="16254" xr:uid="{094533C2-5C4E-4C82-A9D4-80E962FC5A70}"/>
    <cellStyle name="Normal 5 4 3 4 2 3" xfId="12036" xr:uid="{2F576DDE-8935-4E71-8872-BA87899EEBA0}"/>
    <cellStyle name="Normal 5 4 3 4 3" xfId="5659" xr:uid="{00000000-0005-0000-0000-00001A1B0000}"/>
    <cellStyle name="Normal 5 4 3 4 3 2" xfId="14109" xr:uid="{16CAF277-8CF7-4E46-B431-5D944DA75AA6}"/>
    <cellStyle name="Normal 5 4 3 4 4" xfId="9891" xr:uid="{6C883932-E469-4098-9BC4-50F69E15F5F1}"/>
    <cellStyle name="Normal 5 4 3 5" xfId="1765" xr:uid="{00000000-0005-0000-0000-00001B1B0000}"/>
    <cellStyle name="Normal 5 4 3 5 2" xfId="3995" xr:uid="{00000000-0005-0000-0000-00001C1B0000}"/>
    <cellStyle name="Normal 5 4 3 5 2 2" xfId="8217" xr:uid="{00000000-0005-0000-0000-00001D1B0000}"/>
    <cellStyle name="Normal 5 4 3 5 2 2 2" xfId="16667" xr:uid="{3C1C14EF-6763-49F8-9FA3-9754E81395B2}"/>
    <cellStyle name="Normal 5 4 3 5 2 3" xfId="12449" xr:uid="{3F596D28-81A3-477B-8A0C-13AEA8734B98}"/>
    <cellStyle name="Normal 5 4 3 5 3" xfId="6072" xr:uid="{00000000-0005-0000-0000-00001E1B0000}"/>
    <cellStyle name="Normal 5 4 3 5 3 2" xfId="14522" xr:uid="{E5475A03-42FB-473C-B4A9-4AE30A6C70A6}"/>
    <cellStyle name="Normal 5 4 3 5 4" xfId="10304" xr:uid="{982F23C2-04B8-4B48-80FF-BBF0067C7D70}"/>
    <cellStyle name="Normal 5 4 3 6" xfId="2179" xr:uid="{00000000-0005-0000-0000-00001F1B0000}"/>
    <cellStyle name="Normal 5 4 3 6 2" xfId="4408" xr:uid="{00000000-0005-0000-0000-0000201B0000}"/>
    <cellStyle name="Normal 5 4 3 6 2 2" xfId="8630" xr:uid="{00000000-0005-0000-0000-0000211B0000}"/>
    <cellStyle name="Normal 5 4 3 6 2 2 2" xfId="17080" xr:uid="{ECD243ED-FBFC-4093-A6D2-5EA468FD77EC}"/>
    <cellStyle name="Normal 5 4 3 6 2 3" xfId="12862" xr:uid="{B865AFA7-C3C6-4BAE-A12D-848CC6F7A497}"/>
    <cellStyle name="Normal 5 4 3 6 3" xfId="6485" xr:uid="{00000000-0005-0000-0000-0000221B0000}"/>
    <cellStyle name="Normal 5 4 3 6 3 2" xfId="14935" xr:uid="{06353BEA-4908-4011-B2DC-E39251FE420B}"/>
    <cellStyle name="Normal 5 4 3 6 4" xfId="10717" xr:uid="{349C6826-6467-490E-8354-1A314AA40CA0}"/>
    <cellStyle name="Normal 5 4 3 7" xfId="2615" xr:uid="{00000000-0005-0000-0000-0000231B0000}"/>
    <cellStyle name="Normal 5 4 3 7 2" xfId="6898" xr:uid="{00000000-0005-0000-0000-0000241B0000}"/>
    <cellStyle name="Normal 5 4 3 7 2 2" xfId="15348" xr:uid="{16953DEA-2CB9-44F3-BA82-CB87121D35D9}"/>
    <cellStyle name="Normal 5 4 3 7 3" xfId="11130" xr:uid="{1517F8F6-CE22-423B-BFFC-41122D3FF580}"/>
    <cellStyle name="Normal 5 4 3 8" xfId="4833" xr:uid="{00000000-0005-0000-0000-0000251B0000}"/>
    <cellStyle name="Normal 5 4 3 8 2" xfId="13283" xr:uid="{B8FA7531-E0B9-4213-9C1A-8B6512266E05}"/>
    <cellStyle name="Normal 5 4 3 9" xfId="9065" xr:uid="{C12EA6ED-B9FB-45E8-90BA-35D04E1D4655}"/>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2 2 2" xfId="15843" xr:uid="{E63745E5-B69F-4B68-90FF-C8EFFF696EF3}"/>
    <cellStyle name="Normal 5 4 4 2 2 3" xfId="11625" xr:uid="{54C91FB8-B185-46D9-8559-99CC06DBDF55}"/>
    <cellStyle name="Normal 5 4 4 2 3" xfId="5248" xr:uid="{00000000-0005-0000-0000-00002A1B0000}"/>
    <cellStyle name="Normal 5 4 4 2 3 2" xfId="13698" xr:uid="{9392ABCB-143C-4AFE-A4EB-3EB6AAF51E85}"/>
    <cellStyle name="Normal 5 4 4 2 4" xfId="9480" xr:uid="{705B2A99-A839-4E2C-89FF-D44886C03A7D}"/>
    <cellStyle name="Normal 5 4 4 3" xfId="1354" xr:uid="{00000000-0005-0000-0000-00002B1B0000}"/>
    <cellStyle name="Normal 5 4 4 3 2" xfId="3584" xr:uid="{00000000-0005-0000-0000-00002C1B0000}"/>
    <cellStyle name="Normal 5 4 4 3 2 2" xfId="7806" xr:uid="{00000000-0005-0000-0000-00002D1B0000}"/>
    <cellStyle name="Normal 5 4 4 3 2 2 2" xfId="16256" xr:uid="{C2856D67-AD31-47DD-8ABB-6479E6D4B13B}"/>
    <cellStyle name="Normal 5 4 4 3 2 3" xfId="12038" xr:uid="{9325F55B-17FC-449C-9F30-439B6FCD71F7}"/>
    <cellStyle name="Normal 5 4 4 3 3" xfId="5661" xr:uid="{00000000-0005-0000-0000-00002E1B0000}"/>
    <cellStyle name="Normal 5 4 4 3 3 2" xfId="14111" xr:uid="{6CBEA274-57C6-4334-B0B1-A29CFE382EF6}"/>
    <cellStyle name="Normal 5 4 4 3 4" xfId="9893" xr:uid="{07E34EDD-0BE7-4359-9C58-13835B550085}"/>
    <cellStyle name="Normal 5 4 4 4" xfId="1767" xr:uid="{00000000-0005-0000-0000-00002F1B0000}"/>
    <cellStyle name="Normal 5 4 4 4 2" xfId="3997" xr:uid="{00000000-0005-0000-0000-0000301B0000}"/>
    <cellStyle name="Normal 5 4 4 4 2 2" xfId="8219" xr:uid="{00000000-0005-0000-0000-0000311B0000}"/>
    <cellStyle name="Normal 5 4 4 4 2 2 2" xfId="16669" xr:uid="{5E328E1D-D8C8-4DB1-8BC1-453DD6BE6893}"/>
    <cellStyle name="Normal 5 4 4 4 2 3" xfId="12451" xr:uid="{3F9B3F98-6CFB-4CB0-9D94-4092DF2E67EA}"/>
    <cellStyle name="Normal 5 4 4 4 3" xfId="6074" xr:uid="{00000000-0005-0000-0000-0000321B0000}"/>
    <cellStyle name="Normal 5 4 4 4 3 2" xfId="14524" xr:uid="{8DB46C0C-BE88-4429-9A60-9606C161AC03}"/>
    <cellStyle name="Normal 5 4 4 4 4" xfId="10306" xr:uid="{7B501A9A-69E1-415C-91E4-9AAEB74EE218}"/>
    <cellStyle name="Normal 5 4 4 5" xfId="2181" xr:uid="{00000000-0005-0000-0000-0000331B0000}"/>
    <cellStyle name="Normal 5 4 4 5 2" xfId="4410" xr:uid="{00000000-0005-0000-0000-0000341B0000}"/>
    <cellStyle name="Normal 5 4 4 5 2 2" xfId="8632" xr:uid="{00000000-0005-0000-0000-0000351B0000}"/>
    <cellStyle name="Normal 5 4 4 5 2 2 2" xfId="17082" xr:uid="{2D7A0D0F-B4E2-4316-8896-163AF4932DC9}"/>
    <cellStyle name="Normal 5 4 4 5 2 3" xfId="12864" xr:uid="{30D55FA6-5720-41E8-AF35-9EBD348580B0}"/>
    <cellStyle name="Normal 5 4 4 5 3" xfId="6487" xr:uid="{00000000-0005-0000-0000-0000361B0000}"/>
    <cellStyle name="Normal 5 4 4 5 3 2" xfId="14937" xr:uid="{98749AB2-3E17-49A8-AA95-3BDA5FCE4ED2}"/>
    <cellStyle name="Normal 5 4 4 5 4" xfId="10719" xr:uid="{DA0DAE55-A740-474F-BBC3-AE0BEE4FFFCE}"/>
    <cellStyle name="Normal 5 4 4 6" xfId="2617" xr:uid="{00000000-0005-0000-0000-0000371B0000}"/>
    <cellStyle name="Normal 5 4 4 6 2" xfId="6900" xr:uid="{00000000-0005-0000-0000-0000381B0000}"/>
    <cellStyle name="Normal 5 4 4 6 2 2" xfId="15350" xr:uid="{E3AFB44F-1E54-4031-8AAE-8D46EF665A00}"/>
    <cellStyle name="Normal 5 4 4 6 3" xfId="11132" xr:uid="{9EAD7589-3774-4E51-B975-C247E4C5C44C}"/>
    <cellStyle name="Normal 5 4 4 7" xfId="4835" xr:uid="{00000000-0005-0000-0000-0000391B0000}"/>
    <cellStyle name="Normal 5 4 4 7 2" xfId="13285" xr:uid="{0F956F40-73E4-4128-857B-9C8DB611B27F}"/>
    <cellStyle name="Normal 5 4 4 8" xfId="9067" xr:uid="{A7D592EC-37AC-47E9-AAEF-C3967F014990}"/>
    <cellStyle name="Normal 5 4 5" xfId="930" xr:uid="{00000000-0005-0000-0000-00003A1B0000}"/>
    <cellStyle name="Normal 5 4 5 2" xfId="3164" xr:uid="{00000000-0005-0000-0000-00003B1B0000}"/>
    <cellStyle name="Normal 5 4 5 2 2" xfId="7386" xr:uid="{00000000-0005-0000-0000-00003C1B0000}"/>
    <cellStyle name="Normal 5 4 5 2 2 2" xfId="15836" xr:uid="{5D5C1584-77C3-4F14-B143-6E3088F1ED26}"/>
    <cellStyle name="Normal 5 4 5 2 3" xfId="11618" xr:uid="{E3BFCA48-6E80-4E47-9FDE-85A4A9FAF75E}"/>
    <cellStyle name="Normal 5 4 5 3" xfId="5241" xr:uid="{00000000-0005-0000-0000-00003D1B0000}"/>
    <cellStyle name="Normal 5 4 5 3 2" xfId="13691" xr:uid="{48DF953D-DFA1-428C-AB68-F0A6907129BA}"/>
    <cellStyle name="Normal 5 4 5 4" xfId="9473" xr:uid="{408FF293-C2C6-40AF-B667-CF71B76F1B38}"/>
    <cellStyle name="Normal 5 4 6" xfId="1347" xr:uid="{00000000-0005-0000-0000-00003E1B0000}"/>
    <cellStyle name="Normal 5 4 6 2" xfId="3577" xr:uid="{00000000-0005-0000-0000-00003F1B0000}"/>
    <cellStyle name="Normal 5 4 6 2 2" xfId="7799" xr:uid="{00000000-0005-0000-0000-0000401B0000}"/>
    <cellStyle name="Normal 5 4 6 2 2 2" xfId="16249" xr:uid="{B3028976-0C3E-41EF-AB9C-38D547FFFFDC}"/>
    <cellStyle name="Normal 5 4 6 2 3" xfId="12031" xr:uid="{5CB7BCF8-18F9-474A-89FA-64FD3DA4D559}"/>
    <cellStyle name="Normal 5 4 6 3" xfId="5654" xr:uid="{00000000-0005-0000-0000-0000411B0000}"/>
    <cellStyle name="Normal 5 4 6 3 2" xfId="14104" xr:uid="{F792091E-D0AE-458F-9BE7-FFB9848DA698}"/>
    <cellStyle name="Normal 5 4 6 4" xfId="9886" xr:uid="{9B9707A3-A6BC-4653-BA97-1CA3A0311240}"/>
    <cellStyle name="Normal 5 4 7" xfId="1760" xr:uid="{00000000-0005-0000-0000-0000421B0000}"/>
    <cellStyle name="Normal 5 4 7 2" xfId="3990" xr:uid="{00000000-0005-0000-0000-0000431B0000}"/>
    <cellStyle name="Normal 5 4 7 2 2" xfId="8212" xr:uid="{00000000-0005-0000-0000-0000441B0000}"/>
    <cellStyle name="Normal 5 4 7 2 2 2" xfId="16662" xr:uid="{845C478A-E07B-4666-B82D-151813F47803}"/>
    <cellStyle name="Normal 5 4 7 2 3" xfId="12444" xr:uid="{2EE52B7D-FFE4-4608-B78E-8C873057E245}"/>
    <cellStyle name="Normal 5 4 7 3" xfId="6067" xr:uid="{00000000-0005-0000-0000-0000451B0000}"/>
    <cellStyle name="Normal 5 4 7 3 2" xfId="14517" xr:uid="{CD6C0DFE-340E-41D3-9B2C-9AA57D738BD3}"/>
    <cellStyle name="Normal 5 4 7 4" xfId="10299" xr:uid="{D1D7A996-1A08-402E-84A1-F7A1660F94FC}"/>
    <cellStyle name="Normal 5 4 8" xfId="2174" xr:uid="{00000000-0005-0000-0000-0000461B0000}"/>
    <cellStyle name="Normal 5 4 8 2" xfId="4403" xr:uid="{00000000-0005-0000-0000-0000471B0000}"/>
    <cellStyle name="Normal 5 4 8 2 2" xfId="8625" xr:uid="{00000000-0005-0000-0000-0000481B0000}"/>
    <cellStyle name="Normal 5 4 8 2 2 2" xfId="17075" xr:uid="{96DD0488-A1AD-4852-B31A-C4C60921A232}"/>
    <cellStyle name="Normal 5 4 8 2 3" xfId="12857" xr:uid="{892DF6CC-83ED-41CE-9D4C-7EC9BD891992}"/>
    <cellStyle name="Normal 5 4 8 3" xfId="6480" xr:uid="{00000000-0005-0000-0000-0000491B0000}"/>
    <cellStyle name="Normal 5 4 8 3 2" xfId="14930" xr:uid="{8D5B9C06-8836-412C-93F3-338D368C5B55}"/>
    <cellStyle name="Normal 5 4 8 4" xfId="10712" xr:uid="{3E79CFDE-D0E9-4D33-AFAF-8F527495A341}"/>
    <cellStyle name="Normal 5 4 9" xfId="2610" xr:uid="{00000000-0005-0000-0000-00004A1B0000}"/>
    <cellStyle name="Normal 5 4 9 2" xfId="6893" xr:uid="{00000000-0005-0000-0000-00004B1B0000}"/>
    <cellStyle name="Normal 5 4 9 2 2" xfId="15343" xr:uid="{5B1010BA-D5EC-4A62-82D5-4AE566FB5354}"/>
    <cellStyle name="Normal 5 4 9 3" xfId="11125" xr:uid="{2B19792B-84B4-42DA-BF3F-721146E6CACC}"/>
    <cellStyle name="Normal 5 5" xfId="464" xr:uid="{00000000-0005-0000-0000-00004C1B0000}"/>
    <cellStyle name="Normal 5 5 10" xfId="9068" xr:uid="{09D3F941-9193-4CF6-84A3-240E66FBC73C}"/>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2 2 2" xfId="15846" xr:uid="{01E5EC1B-C9B6-4992-9D5E-19FBDD6B558F}"/>
    <cellStyle name="Normal 5 5 2 2 2 2 3" xfId="11628" xr:uid="{2F4B1306-B31F-4F20-BBCA-6B4BB42D4D89}"/>
    <cellStyle name="Normal 5 5 2 2 2 3" xfId="5251" xr:uid="{00000000-0005-0000-0000-0000521B0000}"/>
    <cellStyle name="Normal 5 5 2 2 2 3 2" xfId="13701" xr:uid="{F2C97A73-7614-4F5A-9116-E6BEE253087F}"/>
    <cellStyle name="Normal 5 5 2 2 2 4" xfId="9483" xr:uid="{CA9F2755-8F25-4881-ABEE-75E8F03484D7}"/>
    <cellStyle name="Normal 5 5 2 2 3" xfId="1357" xr:uid="{00000000-0005-0000-0000-0000531B0000}"/>
    <cellStyle name="Normal 5 5 2 2 3 2" xfId="3587" xr:uid="{00000000-0005-0000-0000-0000541B0000}"/>
    <cellStyle name="Normal 5 5 2 2 3 2 2" xfId="7809" xr:uid="{00000000-0005-0000-0000-0000551B0000}"/>
    <cellStyle name="Normal 5 5 2 2 3 2 2 2" xfId="16259" xr:uid="{018C412F-18E6-480E-9734-138202A0752B}"/>
    <cellStyle name="Normal 5 5 2 2 3 2 3" xfId="12041" xr:uid="{603C0042-F2B8-4A67-B1A0-6903F5622015}"/>
    <cellStyle name="Normal 5 5 2 2 3 3" xfId="5664" xr:uid="{00000000-0005-0000-0000-0000561B0000}"/>
    <cellStyle name="Normal 5 5 2 2 3 3 2" xfId="14114" xr:uid="{5330AE74-0685-4EBC-A17C-8374ABE4882F}"/>
    <cellStyle name="Normal 5 5 2 2 3 4" xfId="9896" xr:uid="{6EF1A105-2F15-4A69-ADB4-582149BBE402}"/>
    <cellStyle name="Normal 5 5 2 2 4" xfId="1770" xr:uid="{00000000-0005-0000-0000-0000571B0000}"/>
    <cellStyle name="Normal 5 5 2 2 4 2" xfId="4000" xr:uid="{00000000-0005-0000-0000-0000581B0000}"/>
    <cellStyle name="Normal 5 5 2 2 4 2 2" xfId="8222" xr:uid="{00000000-0005-0000-0000-0000591B0000}"/>
    <cellStyle name="Normal 5 5 2 2 4 2 2 2" xfId="16672" xr:uid="{C3A05D2F-37E5-4669-A680-9552F4B793A7}"/>
    <cellStyle name="Normal 5 5 2 2 4 2 3" xfId="12454" xr:uid="{97C609BF-B694-45D3-A60F-EDC67EA1754F}"/>
    <cellStyle name="Normal 5 5 2 2 4 3" xfId="6077" xr:uid="{00000000-0005-0000-0000-00005A1B0000}"/>
    <cellStyle name="Normal 5 5 2 2 4 3 2" xfId="14527" xr:uid="{565026CF-53DD-44C3-A8B2-1DB0B5769E2A}"/>
    <cellStyle name="Normal 5 5 2 2 4 4" xfId="10309" xr:uid="{883C8C9E-8697-4AAE-BB45-38BE8737B21D}"/>
    <cellStyle name="Normal 5 5 2 2 5" xfId="2184" xr:uid="{00000000-0005-0000-0000-00005B1B0000}"/>
    <cellStyle name="Normal 5 5 2 2 5 2" xfId="4413" xr:uid="{00000000-0005-0000-0000-00005C1B0000}"/>
    <cellStyle name="Normal 5 5 2 2 5 2 2" xfId="8635" xr:uid="{00000000-0005-0000-0000-00005D1B0000}"/>
    <cellStyle name="Normal 5 5 2 2 5 2 2 2" xfId="17085" xr:uid="{9964EA40-D2E3-4656-B8BD-5EB54F6E6268}"/>
    <cellStyle name="Normal 5 5 2 2 5 2 3" xfId="12867" xr:uid="{C0009B10-C463-464C-A557-6FC9E676C133}"/>
    <cellStyle name="Normal 5 5 2 2 5 3" xfId="6490" xr:uid="{00000000-0005-0000-0000-00005E1B0000}"/>
    <cellStyle name="Normal 5 5 2 2 5 3 2" xfId="14940" xr:uid="{C3535A22-C8A8-4E9E-83A4-ABA4B01261B5}"/>
    <cellStyle name="Normal 5 5 2 2 5 4" xfId="10722" xr:uid="{6515E669-B856-45B4-82BF-1458976DAB0E}"/>
    <cellStyle name="Normal 5 5 2 2 6" xfId="2620" xr:uid="{00000000-0005-0000-0000-00005F1B0000}"/>
    <cellStyle name="Normal 5 5 2 2 6 2" xfId="6903" xr:uid="{00000000-0005-0000-0000-0000601B0000}"/>
    <cellStyle name="Normal 5 5 2 2 6 2 2" xfId="15353" xr:uid="{E9004580-DDBA-42E3-BDCE-CD23F80E8FC3}"/>
    <cellStyle name="Normal 5 5 2 2 6 3" xfId="11135" xr:uid="{205143FE-8E30-4346-BC87-5BB6AAB78F04}"/>
    <cellStyle name="Normal 5 5 2 2 7" xfId="4838" xr:uid="{00000000-0005-0000-0000-0000611B0000}"/>
    <cellStyle name="Normal 5 5 2 2 7 2" xfId="13288" xr:uid="{51BCD415-A0B5-47BC-BFCB-ED1E540DBC1C}"/>
    <cellStyle name="Normal 5 5 2 2 8" xfId="9070" xr:uid="{44164826-6366-42D0-9E5E-DE72C167F773}"/>
    <cellStyle name="Normal 5 5 2 3" xfId="939" xr:uid="{00000000-0005-0000-0000-0000621B0000}"/>
    <cellStyle name="Normal 5 5 2 3 2" xfId="3173" xr:uid="{00000000-0005-0000-0000-0000631B0000}"/>
    <cellStyle name="Normal 5 5 2 3 2 2" xfId="7395" xr:uid="{00000000-0005-0000-0000-0000641B0000}"/>
    <cellStyle name="Normal 5 5 2 3 2 2 2" xfId="15845" xr:uid="{88437E2A-A4FB-4DA6-BAD1-2FFF73C8020D}"/>
    <cellStyle name="Normal 5 5 2 3 2 3" xfId="11627" xr:uid="{09B80B78-735F-451E-9E21-1CCB31C8722C}"/>
    <cellStyle name="Normal 5 5 2 3 3" xfId="5250" xr:uid="{00000000-0005-0000-0000-0000651B0000}"/>
    <cellStyle name="Normal 5 5 2 3 3 2" xfId="13700" xr:uid="{3AE202E7-0E8D-489D-A85F-7C775596333B}"/>
    <cellStyle name="Normal 5 5 2 3 4" xfId="9482" xr:uid="{B62FB294-0315-4585-A574-6B4B9CCE776E}"/>
    <cellStyle name="Normal 5 5 2 4" xfId="1356" xr:uid="{00000000-0005-0000-0000-0000661B0000}"/>
    <cellStyle name="Normal 5 5 2 4 2" xfId="3586" xr:uid="{00000000-0005-0000-0000-0000671B0000}"/>
    <cellStyle name="Normal 5 5 2 4 2 2" xfId="7808" xr:uid="{00000000-0005-0000-0000-0000681B0000}"/>
    <cellStyle name="Normal 5 5 2 4 2 2 2" xfId="16258" xr:uid="{8BB3FB80-0D9B-46D0-81E7-0F0FF9ADB0A7}"/>
    <cellStyle name="Normal 5 5 2 4 2 3" xfId="12040" xr:uid="{ECD77613-1581-4EA1-9466-AAD976C9045A}"/>
    <cellStyle name="Normal 5 5 2 4 3" xfId="5663" xr:uid="{00000000-0005-0000-0000-0000691B0000}"/>
    <cellStyle name="Normal 5 5 2 4 3 2" xfId="14113" xr:uid="{7F60A85E-ABF8-46CF-8F07-D87EE83E797D}"/>
    <cellStyle name="Normal 5 5 2 4 4" xfId="9895" xr:uid="{1BC0941F-8FBA-4AFE-8341-291EFCEA95D9}"/>
    <cellStyle name="Normal 5 5 2 5" xfId="1769" xr:uid="{00000000-0005-0000-0000-00006A1B0000}"/>
    <cellStyle name="Normal 5 5 2 5 2" xfId="3999" xr:uid="{00000000-0005-0000-0000-00006B1B0000}"/>
    <cellStyle name="Normal 5 5 2 5 2 2" xfId="8221" xr:uid="{00000000-0005-0000-0000-00006C1B0000}"/>
    <cellStyle name="Normal 5 5 2 5 2 2 2" xfId="16671" xr:uid="{7749BB09-6F4E-4914-B397-72E8FA325789}"/>
    <cellStyle name="Normal 5 5 2 5 2 3" xfId="12453" xr:uid="{FABAF755-A5FD-43CB-9E4C-788652FA4060}"/>
    <cellStyle name="Normal 5 5 2 5 3" xfId="6076" xr:uid="{00000000-0005-0000-0000-00006D1B0000}"/>
    <cellStyle name="Normal 5 5 2 5 3 2" xfId="14526" xr:uid="{ED340602-2E8D-473A-BBF3-1359E516D77B}"/>
    <cellStyle name="Normal 5 5 2 5 4" xfId="10308" xr:uid="{B86CEE0F-AF3D-42EB-97D4-D66BF36FD044}"/>
    <cellStyle name="Normal 5 5 2 6" xfId="2183" xr:uid="{00000000-0005-0000-0000-00006E1B0000}"/>
    <cellStyle name="Normal 5 5 2 6 2" xfId="4412" xr:uid="{00000000-0005-0000-0000-00006F1B0000}"/>
    <cellStyle name="Normal 5 5 2 6 2 2" xfId="8634" xr:uid="{00000000-0005-0000-0000-0000701B0000}"/>
    <cellStyle name="Normal 5 5 2 6 2 2 2" xfId="17084" xr:uid="{B4E39803-365F-4346-BC94-5724508F015E}"/>
    <cellStyle name="Normal 5 5 2 6 2 3" xfId="12866" xr:uid="{FE71EC2A-D53A-43EC-A44F-48DD29FE83AB}"/>
    <cellStyle name="Normal 5 5 2 6 3" xfId="6489" xr:uid="{00000000-0005-0000-0000-0000711B0000}"/>
    <cellStyle name="Normal 5 5 2 6 3 2" xfId="14939" xr:uid="{F79EB66A-9761-4098-90C6-81747D7E4051}"/>
    <cellStyle name="Normal 5 5 2 6 4" xfId="10721" xr:uid="{1A3EFFA3-6818-4EA6-AABF-08DA7018C984}"/>
    <cellStyle name="Normal 5 5 2 7" xfId="2619" xr:uid="{00000000-0005-0000-0000-0000721B0000}"/>
    <cellStyle name="Normal 5 5 2 7 2" xfId="6902" xr:uid="{00000000-0005-0000-0000-0000731B0000}"/>
    <cellStyle name="Normal 5 5 2 7 2 2" xfId="15352" xr:uid="{027C3EC5-D40E-4654-BB6F-A5D7C13E6EE5}"/>
    <cellStyle name="Normal 5 5 2 7 3" xfId="11134" xr:uid="{A0ACB6C4-9113-4FBA-BE92-FD6D417BDB98}"/>
    <cellStyle name="Normal 5 5 2 8" xfId="4837" xr:uid="{00000000-0005-0000-0000-0000741B0000}"/>
    <cellStyle name="Normal 5 5 2 8 2" xfId="13287" xr:uid="{1BC9253E-9878-4BD4-979C-03B71596CBD1}"/>
    <cellStyle name="Normal 5 5 2 9" xfId="9069" xr:uid="{E3918DF7-3359-46A1-9B32-45A31424991A}"/>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2 2 2" xfId="15847" xr:uid="{D5C7431B-B2FA-4755-A4FC-C6B1CF11CF27}"/>
    <cellStyle name="Normal 5 5 3 2 2 3" xfId="11629" xr:uid="{820A5BC5-4B32-496C-9745-BEE5C4D43DCB}"/>
    <cellStyle name="Normal 5 5 3 2 3" xfId="5252" xr:uid="{00000000-0005-0000-0000-0000791B0000}"/>
    <cellStyle name="Normal 5 5 3 2 3 2" xfId="13702" xr:uid="{BDF66D92-DCCE-4DAF-BBCA-94607AD6532B}"/>
    <cellStyle name="Normal 5 5 3 2 4" xfId="9484" xr:uid="{05B55091-F32A-412A-9EE0-C839BAF5D97A}"/>
    <cellStyle name="Normal 5 5 3 3" xfId="1358" xr:uid="{00000000-0005-0000-0000-00007A1B0000}"/>
    <cellStyle name="Normal 5 5 3 3 2" xfId="3588" xr:uid="{00000000-0005-0000-0000-00007B1B0000}"/>
    <cellStyle name="Normal 5 5 3 3 2 2" xfId="7810" xr:uid="{00000000-0005-0000-0000-00007C1B0000}"/>
    <cellStyle name="Normal 5 5 3 3 2 2 2" xfId="16260" xr:uid="{C70F3483-5CB4-4F8F-B411-65EC1301EAFA}"/>
    <cellStyle name="Normal 5 5 3 3 2 3" xfId="12042" xr:uid="{8604B043-FB56-4EAD-BAAE-562461B0FFC1}"/>
    <cellStyle name="Normal 5 5 3 3 3" xfId="5665" xr:uid="{00000000-0005-0000-0000-00007D1B0000}"/>
    <cellStyle name="Normal 5 5 3 3 3 2" xfId="14115" xr:uid="{0E6FC545-E1D0-407D-9E52-DCEC7B9A45D5}"/>
    <cellStyle name="Normal 5 5 3 3 4" xfId="9897" xr:uid="{E12DB804-B1E1-4216-8A79-20C5F286562B}"/>
    <cellStyle name="Normal 5 5 3 4" xfId="1771" xr:uid="{00000000-0005-0000-0000-00007E1B0000}"/>
    <cellStyle name="Normal 5 5 3 4 2" xfId="4001" xr:uid="{00000000-0005-0000-0000-00007F1B0000}"/>
    <cellStyle name="Normal 5 5 3 4 2 2" xfId="8223" xr:uid="{00000000-0005-0000-0000-0000801B0000}"/>
    <cellStyle name="Normal 5 5 3 4 2 2 2" xfId="16673" xr:uid="{D25A68B0-0C05-499B-91EE-F645ED0AF76B}"/>
    <cellStyle name="Normal 5 5 3 4 2 3" xfId="12455" xr:uid="{CCC41B40-DDFB-4A7E-BD6D-93D0084BC531}"/>
    <cellStyle name="Normal 5 5 3 4 3" xfId="6078" xr:uid="{00000000-0005-0000-0000-0000811B0000}"/>
    <cellStyle name="Normal 5 5 3 4 3 2" xfId="14528" xr:uid="{49B1DA27-3DB4-4765-A208-3E98709CD279}"/>
    <cellStyle name="Normal 5 5 3 4 4" xfId="10310" xr:uid="{9838A2A7-C54C-432E-8E1B-2D5EE928B184}"/>
    <cellStyle name="Normal 5 5 3 5" xfId="2185" xr:uid="{00000000-0005-0000-0000-0000821B0000}"/>
    <cellStyle name="Normal 5 5 3 5 2" xfId="4414" xr:uid="{00000000-0005-0000-0000-0000831B0000}"/>
    <cellStyle name="Normal 5 5 3 5 2 2" xfId="8636" xr:uid="{00000000-0005-0000-0000-0000841B0000}"/>
    <cellStyle name="Normal 5 5 3 5 2 2 2" xfId="17086" xr:uid="{900A21BD-023D-423A-8BA4-ACE9156AABFB}"/>
    <cellStyle name="Normal 5 5 3 5 2 3" xfId="12868" xr:uid="{6FB1A816-24B5-4463-AFEC-30BC8E33C16C}"/>
    <cellStyle name="Normal 5 5 3 5 3" xfId="6491" xr:uid="{00000000-0005-0000-0000-0000851B0000}"/>
    <cellStyle name="Normal 5 5 3 5 3 2" xfId="14941" xr:uid="{EA42BE23-789B-4255-B1B5-98BC3946DAC7}"/>
    <cellStyle name="Normal 5 5 3 5 4" xfId="10723" xr:uid="{08207AFD-1316-41C7-AEE1-DC809FDC95B1}"/>
    <cellStyle name="Normal 5 5 3 6" xfId="2621" xr:uid="{00000000-0005-0000-0000-0000861B0000}"/>
    <cellStyle name="Normal 5 5 3 6 2" xfId="6904" xr:uid="{00000000-0005-0000-0000-0000871B0000}"/>
    <cellStyle name="Normal 5 5 3 6 2 2" xfId="15354" xr:uid="{13EFF863-37E0-4F28-AF90-EEAF0A0CBC04}"/>
    <cellStyle name="Normal 5 5 3 6 3" xfId="11136" xr:uid="{54AF2387-B758-4E48-AE9C-3AB5739CC39B}"/>
    <cellStyle name="Normal 5 5 3 7" xfId="4839" xr:uid="{00000000-0005-0000-0000-0000881B0000}"/>
    <cellStyle name="Normal 5 5 3 7 2" xfId="13289" xr:uid="{4812169B-C6E6-4581-A4AA-1127BC857C9D}"/>
    <cellStyle name="Normal 5 5 3 8" xfId="9071" xr:uid="{CA867E79-9B66-4A6D-BB9F-CEB74825148B}"/>
    <cellStyle name="Normal 5 5 4" xfId="938" xr:uid="{00000000-0005-0000-0000-0000891B0000}"/>
    <cellStyle name="Normal 5 5 4 2" xfId="3172" xr:uid="{00000000-0005-0000-0000-00008A1B0000}"/>
    <cellStyle name="Normal 5 5 4 2 2" xfId="7394" xr:uid="{00000000-0005-0000-0000-00008B1B0000}"/>
    <cellStyle name="Normal 5 5 4 2 2 2" xfId="15844" xr:uid="{C28D727E-C481-4819-B0D3-C01DCBBBCB27}"/>
    <cellStyle name="Normal 5 5 4 2 3" xfId="11626" xr:uid="{B5CE6970-D9BC-4489-A4E3-BB7091CFC730}"/>
    <cellStyle name="Normal 5 5 4 3" xfId="5249" xr:uid="{00000000-0005-0000-0000-00008C1B0000}"/>
    <cellStyle name="Normal 5 5 4 3 2" xfId="13699" xr:uid="{9E661EBE-242F-4A6E-A1AB-A2CB6223F6E2}"/>
    <cellStyle name="Normal 5 5 4 4" xfId="9481" xr:uid="{608E2207-1BCE-4B6A-92EA-FBFB99DF5E0A}"/>
    <cellStyle name="Normal 5 5 5" xfId="1355" xr:uid="{00000000-0005-0000-0000-00008D1B0000}"/>
    <cellStyle name="Normal 5 5 5 2" xfId="3585" xr:uid="{00000000-0005-0000-0000-00008E1B0000}"/>
    <cellStyle name="Normal 5 5 5 2 2" xfId="7807" xr:uid="{00000000-0005-0000-0000-00008F1B0000}"/>
    <cellStyle name="Normal 5 5 5 2 2 2" xfId="16257" xr:uid="{F57DB64B-EB1C-4D26-B09C-4339924D0BF7}"/>
    <cellStyle name="Normal 5 5 5 2 3" xfId="12039" xr:uid="{48FD2350-2EE6-4276-9A0D-0406DF9164F0}"/>
    <cellStyle name="Normal 5 5 5 3" xfId="5662" xr:uid="{00000000-0005-0000-0000-0000901B0000}"/>
    <cellStyle name="Normal 5 5 5 3 2" xfId="14112" xr:uid="{9F7D27CB-2F56-42CB-888E-60D149108310}"/>
    <cellStyle name="Normal 5 5 5 4" xfId="9894" xr:uid="{D73CF2E4-5199-42AB-93C9-3C2C115D0FF8}"/>
    <cellStyle name="Normal 5 5 6" xfId="1768" xr:uid="{00000000-0005-0000-0000-0000911B0000}"/>
    <cellStyle name="Normal 5 5 6 2" xfId="3998" xr:uid="{00000000-0005-0000-0000-0000921B0000}"/>
    <cellStyle name="Normal 5 5 6 2 2" xfId="8220" xr:uid="{00000000-0005-0000-0000-0000931B0000}"/>
    <cellStyle name="Normal 5 5 6 2 2 2" xfId="16670" xr:uid="{B8B46DFF-BC43-4941-AC2C-D1AF50F9E0CD}"/>
    <cellStyle name="Normal 5 5 6 2 3" xfId="12452" xr:uid="{F43B1549-84AC-4FA7-A54E-0B7ED7207FAE}"/>
    <cellStyle name="Normal 5 5 6 3" xfId="6075" xr:uid="{00000000-0005-0000-0000-0000941B0000}"/>
    <cellStyle name="Normal 5 5 6 3 2" xfId="14525" xr:uid="{4D4BEECF-B8BA-42E2-AB1C-176203FE45C9}"/>
    <cellStyle name="Normal 5 5 6 4" xfId="10307" xr:uid="{94B5F795-83AC-4714-8381-C910397C935B}"/>
    <cellStyle name="Normal 5 5 7" xfId="2182" xr:uid="{00000000-0005-0000-0000-0000951B0000}"/>
    <cellStyle name="Normal 5 5 7 2" xfId="4411" xr:uid="{00000000-0005-0000-0000-0000961B0000}"/>
    <cellStyle name="Normal 5 5 7 2 2" xfId="8633" xr:uid="{00000000-0005-0000-0000-0000971B0000}"/>
    <cellStyle name="Normal 5 5 7 2 2 2" xfId="17083" xr:uid="{14C91F0F-0B85-403E-8CDB-8EF36CB57EEC}"/>
    <cellStyle name="Normal 5 5 7 2 3" xfId="12865" xr:uid="{F15FFC8A-DE33-4F0F-9E79-CFFE82C391C3}"/>
    <cellStyle name="Normal 5 5 7 3" xfId="6488" xr:uid="{00000000-0005-0000-0000-0000981B0000}"/>
    <cellStyle name="Normal 5 5 7 3 2" xfId="14938" xr:uid="{A4A8C1F6-3277-493D-9793-7F7260F2818D}"/>
    <cellStyle name="Normal 5 5 7 4" xfId="10720" xr:uid="{97DA5B0A-9259-4251-8917-1B892586D630}"/>
    <cellStyle name="Normal 5 5 8" xfId="2618" xr:uid="{00000000-0005-0000-0000-0000991B0000}"/>
    <cellStyle name="Normal 5 5 8 2" xfId="6901" xr:uid="{00000000-0005-0000-0000-00009A1B0000}"/>
    <cellStyle name="Normal 5 5 8 2 2" xfId="15351" xr:uid="{13DCE45D-603C-4C21-8229-8BC69DF4AA04}"/>
    <cellStyle name="Normal 5 5 8 3" xfId="11133" xr:uid="{51670BC9-945A-4217-83B5-C753F0407CB3}"/>
    <cellStyle name="Normal 5 5 9" xfId="4836" xr:uid="{00000000-0005-0000-0000-00009B1B0000}"/>
    <cellStyle name="Normal 5 5 9 2" xfId="13286" xr:uid="{AC92AFCB-346E-4FD4-B251-89B952490484}"/>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2 2 2" xfId="15849" xr:uid="{03BFD99F-0923-4263-BF89-FBF12524ADF4}"/>
    <cellStyle name="Normal 5 6 2 2 2 3" xfId="11631" xr:uid="{78321D73-0584-42A7-B7B9-29168A78BF61}"/>
    <cellStyle name="Normal 5 6 2 2 3" xfId="5254" xr:uid="{00000000-0005-0000-0000-0000A11B0000}"/>
    <cellStyle name="Normal 5 6 2 2 3 2" xfId="13704" xr:uid="{C876A3CA-64D4-4EFE-AD08-65BABED2FD5B}"/>
    <cellStyle name="Normal 5 6 2 2 4" xfId="9486" xr:uid="{F2ADEBED-A81F-4E41-AA10-A99336C338A4}"/>
    <cellStyle name="Normal 5 6 2 3" xfId="1360" xr:uid="{00000000-0005-0000-0000-0000A21B0000}"/>
    <cellStyle name="Normal 5 6 2 3 2" xfId="3590" xr:uid="{00000000-0005-0000-0000-0000A31B0000}"/>
    <cellStyle name="Normal 5 6 2 3 2 2" xfId="7812" xr:uid="{00000000-0005-0000-0000-0000A41B0000}"/>
    <cellStyle name="Normal 5 6 2 3 2 2 2" xfId="16262" xr:uid="{62166B40-3E3F-4244-9B1F-E16BCD20D6C5}"/>
    <cellStyle name="Normal 5 6 2 3 2 3" xfId="12044" xr:uid="{51C69642-7C6F-4268-9278-354116803D06}"/>
    <cellStyle name="Normal 5 6 2 3 3" xfId="5667" xr:uid="{00000000-0005-0000-0000-0000A51B0000}"/>
    <cellStyle name="Normal 5 6 2 3 3 2" xfId="14117" xr:uid="{E209A6B2-F8F7-43CD-9F89-AA63C46931D8}"/>
    <cellStyle name="Normal 5 6 2 3 4" xfId="9899" xr:uid="{9D289FD8-F7C8-415B-8F15-22408085EC8C}"/>
    <cellStyle name="Normal 5 6 2 4" xfId="1773" xr:uid="{00000000-0005-0000-0000-0000A61B0000}"/>
    <cellStyle name="Normal 5 6 2 4 2" xfId="4003" xr:uid="{00000000-0005-0000-0000-0000A71B0000}"/>
    <cellStyle name="Normal 5 6 2 4 2 2" xfId="8225" xr:uid="{00000000-0005-0000-0000-0000A81B0000}"/>
    <cellStyle name="Normal 5 6 2 4 2 2 2" xfId="16675" xr:uid="{1775F7F1-86DC-493E-A8EC-2269A4E37C49}"/>
    <cellStyle name="Normal 5 6 2 4 2 3" xfId="12457" xr:uid="{25EC4A64-E4A6-4A9E-B27E-4FC3CC9BA386}"/>
    <cellStyle name="Normal 5 6 2 4 3" xfId="6080" xr:uid="{00000000-0005-0000-0000-0000A91B0000}"/>
    <cellStyle name="Normal 5 6 2 4 3 2" xfId="14530" xr:uid="{DB0A53A7-4312-4921-8C58-E1423094DC1F}"/>
    <cellStyle name="Normal 5 6 2 4 4" xfId="10312" xr:uid="{F3782BBC-077E-4D14-A243-258B2DD233E6}"/>
    <cellStyle name="Normal 5 6 2 5" xfId="2187" xr:uid="{00000000-0005-0000-0000-0000AA1B0000}"/>
    <cellStyle name="Normal 5 6 2 5 2" xfId="4416" xr:uid="{00000000-0005-0000-0000-0000AB1B0000}"/>
    <cellStyle name="Normal 5 6 2 5 2 2" xfId="8638" xr:uid="{00000000-0005-0000-0000-0000AC1B0000}"/>
    <cellStyle name="Normal 5 6 2 5 2 2 2" xfId="17088" xr:uid="{156B0EA4-7A61-4308-A5C5-2C15AB9398C0}"/>
    <cellStyle name="Normal 5 6 2 5 2 3" xfId="12870" xr:uid="{0ED68470-C57A-4FCA-A3ED-84622AAF2C1A}"/>
    <cellStyle name="Normal 5 6 2 5 3" xfId="6493" xr:uid="{00000000-0005-0000-0000-0000AD1B0000}"/>
    <cellStyle name="Normal 5 6 2 5 3 2" xfId="14943" xr:uid="{67EAAA06-90BD-4E7A-A30A-0EECAF883779}"/>
    <cellStyle name="Normal 5 6 2 5 4" xfId="10725" xr:uid="{E2F10257-6251-449B-84B7-2BC671E8D7DD}"/>
    <cellStyle name="Normal 5 6 2 6" xfId="2623" xr:uid="{00000000-0005-0000-0000-0000AE1B0000}"/>
    <cellStyle name="Normal 5 6 2 6 2" xfId="6906" xr:uid="{00000000-0005-0000-0000-0000AF1B0000}"/>
    <cellStyle name="Normal 5 6 2 6 2 2" xfId="15356" xr:uid="{951A99C0-D82D-4D3E-BC2D-76101814BACA}"/>
    <cellStyle name="Normal 5 6 2 6 3" xfId="11138" xr:uid="{A13D0A1C-B39B-465F-98E8-6AB4ECEE5CE3}"/>
    <cellStyle name="Normal 5 6 2 7" xfId="4841" xr:uid="{00000000-0005-0000-0000-0000B01B0000}"/>
    <cellStyle name="Normal 5 6 2 7 2" xfId="13291" xr:uid="{6B885C7B-5729-40B6-AC23-C416C0F7ECF5}"/>
    <cellStyle name="Normal 5 6 2 8" xfId="9073" xr:uid="{8A3DB74B-3D87-4BA7-8680-03D19A47FA67}"/>
    <cellStyle name="Normal 5 6 3" xfId="942" xr:uid="{00000000-0005-0000-0000-0000B11B0000}"/>
    <cellStyle name="Normal 5 6 3 2" xfId="3176" xr:uid="{00000000-0005-0000-0000-0000B21B0000}"/>
    <cellStyle name="Normal 5 6 3 2 2" xfId="7398" xr:uid="{00000000-0005-0000-0000-0000B31B0000}"/>
    <cellStyle name="Normal 5 6 3 2 2 2" xfId="15848" xr:uid="{2943A978-4E5A-4B2E-851F-D59F21F45D80}"/>
    <cellStyle name="Normal 5 6 3 2 3" xfId="11630" xr:uid="{F560C4D8-3910-42E0-8F61-51CA2EDC83FD}"/>
    <cellStyle name="Normal 5 6 3 3" xfId="5253" xr:uid="{00000000-0005-0000-0000-0000B41B0000}"/>
    <cellStyle name="Normal 5 6 3 3 2" xfId="13703" xr:uid="{71BEFE34-BD6F-41CE-A1AA-9561D66348B3}"/>
    <cellStyle name="Normal 5 6 3 4" xfId="9485" xr:uid="{874C7F94-C7C1-4393-80BB-4E0AF13CF0EB}"/>
    <cellStyle name="Normal 5 6 4" xfId="1359" xr:uid="{00000000-0005-0000-0000-0000B51B0000}"/>
    <cellStyle name="Normal 5 6 4 2" xfId="3589" xr:uid="{00000000-0005-0000-0000-0000B61B0000}"/>
    <cellStyle name="Normal 5 6 4 2 2" xfId="7811" xr:uid="{00000000-0005-0000-0000-0000B71B0000}"/>
    <cellStyle name="Normal 5 6 4 2 2 2" xfId="16261" xr:uid="{B78C8D1D-AA5B-4B6C-97D5-39858AE94B03}"/>
    <cellStyle name="Normal 5 6 4 2 3" xfId="12043" xr:uid="{736B9F90-D47F-4007-8AA4-B90A986BD72E}"/>
    <cellStyle name="Normal 5 6 4 3" xfId="5666" xr:uid="{00000000-0005-0000-0000-0000B81B0000}"/>
    <cellStyle name="Normal 5 6 4 3 2" xfId="14116" xr:uid="{E14358F4-39BE-4F7C-9110-0A883853FA9C}"/>
    <cellStyle name="Normal 5 6 4 4" xfId="9898" xr:uid="{C2B7E668-3F11-4CD5-8A04-CEC5EC8D7CA4}"/>
    <cellStyle name="Normal 5 6 5" xfId="1772" xr:uid="{00000000-0005-0000-0000-0000B91B0000}"/>
    <cellStyle name="Normal 5 6 5 2" xfId="4002" xr:uid="{00000000-0005-0000-0000-0000BA1B0000}"/>
    <cellStyle name="Normal 5 6 5 2 2" xfId="8224" xr:uid="{00000000-0005-0000-0000-0000BB1B0000}"/>
    <cellStyle name="Normal 5 6 5 2 2 2" xfId="16674" xr:uid="{190383D4-E18C-4728-A5BE-1C7556202836}"/>
    <cellStyle name="Normal 5 6 5 2 3" xfId="12456" xr:uid="{078600E8-9743-42F7-96E7-34D898BF36C0}"/>
    <cellStyle name="Normal 5 6 5 3" xfId="6079" xr:uid="{00000000-0005-0000-0000-0000BC1B0000}"/>
    <cellStyle name="Normal 5 6 5 3 2" xfId="14529" xr:uid="{E943A218-3532-463B-9C4D-268BD1FDCE77}"/>
    <cellStyle name="Normal 5 6 5 4" xfId="10311" xr:uid="{D7D96EA3-F679-40DB-ABF5-785DBE9281AA}"/>
    <cellStyle name="Normal 5 6 6" xfId="2186" xr:uid="{00000000-0005-0000-0000-0000BD1B0000}"/>
    <cellStyle name="Normal 5 6 6 2" xfId="4415" xr:uid="{00000000-0005-0000-0000-0000BE1B0000}"/>
    <cellStyle name="Normal 5 6 6 2 2" xfId="8637" xr:uid="{00000000-0005-0000-0000-0000BF1B0000}"/>
    <cellStyle name="Normal 5 6 6 2 2 2" xfId="17087" xr:uid="{4F7675A1-8DE2-453B-8296-509337FBEC18}"/>
    <cellStyle name="Normal 5 6 6 2 3" xfId="12869" xr:uid="{7BBEF855-DEE7-4D53-809A-A0636C468319}"/>
    <cellStyle name="Normal 5 6 6 3" xfId="6492" xr:uid="{00000000-0005-0000-0000-0000C01B0000}"/>
    <cellStyle name="Normal 5 6 6 3 2" xfId="14942" xr:uid="{B78B9935-043F-4111-A48A-C029A6FEACDC}"/>
    <cellStyle name="Normal 5 6 6 4" xfId="10724" xr:uid="{0AF8A7B6-CE91-4101-BCB6-690D21D477EF}"/>
    <cellStyle name="Normal 5 6 7" xfId="2622" xr:uid="{00000000-0005-0000-0000-0000C11B0000}"/>
    <cellStyle name="Normal 5 6 7 2" xfId="6905" xr:uid="{00000000-0005-0000-0000-0000C21B0000}"/>
    <cellStyle name="Normal 5 6 7 2 2" xfId="15355" xr:uid="{9BDB1FC5-6427-439F-9438-06A46F7E187B}"/>
    <cellStyle name="Normal 5 6 7 3" xfId="11137" xr:uid="{BB82CD33-DF90-401B-A4FF-9EB03F0736B7}"/>
    <cellStyle name="Normal 5 6 8" xfId="4840" xr:uid="{00000000-0005-0000-0000-0000C31B0000}"/>
    <cellStyle name="Normal 5 6 8 2" xfId="13290" xr:uid="{C155F613-122D-4646-9880-292C1F505D6A}"/>
    <cellStyle name="Normal 5 6 9" xfId="9072" xr:uid="{FB4DADAE-8B76-460E-B14D-41EF36388609}"/>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2 2 2" xfId="15850" xr:uid="{0533D876-6586-4841-9EAC-F028E7EE42BF}"/>
    <cellStyle name="Normal 5 7 2 2 3" xfId="11632" xr:uid="{3A496519-44C3-4292-8D76-C36520F6DC7F}"/>
    <cellStyle name="Normal 5 7 2 3" xfId="5255" xr:uid="{00000000-0005-0000-0000-0000C81B0000}"/>
    <cellStyle name="Normal 5 7 2 3 2" xfId="13705" xr:uid="{E84A4A25-3D10-457B-805F-EDFA31D436B1}"/>
    <cellStyle name="Normal 5 7 2 4" xfId="9487" xr:uid="{EB92038A-F76B-484D-9D5C-281639B7D4CC}"/>
    <cellStyle name="Normal 5 7 3" xfId="1361" xr:uid="{00000000-0005-0000-0000-0000C91B0000}"/>
    <cellStyle name="Normal 5 7 3 2" xfId="3591" xr:uid="{00000000-0005-0000-0000-0000CA1B0000}"/>
    <cellStyle name="Normal 5 7 3 2 2" xfId="7813" xr:uid="{00000000-0005-0000-0000-0000CB1B0000}"/>
    <cellStyle name="Normal 5 7 3 2 2 2" xfId="16263" xr:uid="{BD0A673B-6710-4D29-8277-8C310056D241}"/>
    <cellStyle name="Normal 5 7 3 2 3" xfId="12045" xr:uid="{965DD3F3-2919-473E-983F-1BF5A4834404}"/>
    <cellStyle name="Normal 5 7 3 3" xfId="5668" xr:uid="{00000000-0005-0000-0000-0000CC1B0000}"/>
    <cellStyle name="Normal 5 7 3 3 2" xfId="14118" xr:uid="{B997A5B3-BB37-44AD-8139-298520367186}"/>
    <cellStyle name="Normal 5 7 3 4" xfId="9900" xr:uid="{E38F8D78-262A-4340-9D95-1701467FA01B}"/>
    <cellStyle name="Normal 5 7 4" xfId="1774" xr:uid="{00000000-0005-0000-0000-0000CD1B0000}"/>
    <cellStyle name="Normal 5 7 4 2" xfId="4004" xr:uid="{00000000-0005-0000-0000-0000CE1B0000}"/>
    <cellStyle name="Normal 5 7 4 2 2" xfId="8226" xr:uid="{00000000-0005-0000-0000-0000CF1B0000}"/>
    <cellStyle name="Normal 5 7 4 2 2 2" xfId="16676" xr:uid="{F3E7F7FA-81C9-48DF-810C-794C8B7D6F68}"/>
    <cellStyle name="Normal 5 7 4 2 3" xfId="12458" xr:uid="{FC703133-D409-4F5F-8D1F-557D2EDADB9E}"/>
    <cellStyle name="Normal 5 7 4 3" xfId="6081" xr:uid="{00000000-0005-0000-0000-0000D01B0000}"/>
    <cellStyle name="Normal 5 7 4 3 2" xfId="14531" xr:uid="{29E03BA4-8ED0-401E-B224-B4B651BBA550}"/>
    <cellStyle name="Normal 5 7 4 4" xfId="10313" xr:uid="{FCF273B7-E38D-4A5B-ABE5-3C3176CCC3FE}"/>
    <cellStyle name="Normal 5 7 5" xfId="2188" xr:uid="{00000000-0005-0000-0000-0000D11B0000}"/>
    <cellStyle name="Normal 5 7 5 2" xfId="4417" xr:uid="{00000000-0005-0000-0000-0000D21B0000}"/>
    <cellStyle name="Normal 5 7 5 2 2" xfId="8639" xr:uid="{00000000-0005-0000-0000-0000D31B0000}"/>
    <cellStyle name="Normal 5 7 5 2 2 2" xfId="17089" xr:uid="{D17BC152-D784-4451-85AC-9DC80CBA9676}"/>
    <cellStyle name="Normal 5 7 5 2 3" xfId="12871" xr:uid="{DE1325D4-847B-466F-8263-6B8E735BC833}"/>
    <cellStyle name="Normal 5 7 5 3" xfId="6494" xr:uid="{00000000-0005-0000-0000-0000D41B0000}"/>
    <cellStyle name="Normal 5 7 5 3 2" xfId="14944" xr:uid="{628F34FF-EE64-4AC4-8CEA-E107ADACF839}"/>
    <cellStyle name="Normal 5 7 5 4" xfId="10726" xr:uid="{12F73E95-95CE-4D87-A58D-1AA9500D2D88}"/>
    <cellStyle name="Normal 5 7 6" xfId="2624" xr:uid="{00000000-0005-0000-0000-0000D51B0000}"/>
    <cellStyle name="Normal 5 7 6 2" xfId="6907" xr:uid="{00000000-0005-0000-0000-0000D61B0000}"/>
    <cellStyle name="Normal 5 7 6 2 2" xfId="15357" xr:uid="{661FA3D3-12BD-466E-B6A0-92836378AAEE}"/>
    <cellStyle name="Normal 5 7 6 3" xfId="11139" xr:uid="{254B850D-FD59-49BE-8B9D-1EFA3BD381E9}"/>
    <cellStyle name="Normal 5 7 7" xfId="4842" xr:uid="{00000000-0005-0000-0000-0000D71B0000}"/>
    <cellStyle name="Normal 5 7 7 2" xfId="13292" xr:uid="{12C67D16-DB52-4975-B944-578AD9DFDAD9}"/>
    <cellStyle name="Normal 5 7 8" xfId="9074" xr:uid="{F2B64A4D-35E5-41DD-A51B-12CE5EB28A48}"/>
    <cellStyle name="Normal 5 8" xfId="880" xr:uid="{00000000-0005-0000-0000-0000D81B0000}"/>
    <cellStyle name="Normal 5 8 2" xfId="3115" xr:uid="{00000000-0005-0000-0000-0000D91B0000}"/>
    <cellStyle name="Normal 5 8 2 2" xfId="7337" xr:uid="{00000000-0005-0000-0000-0000DA1B0000}"/>
    <cellStyle name="Normal 5 8 2 2 2" xfId="15787" xr:uid="{1A499387-F381-45A1-B060-7DF4646826D6}"/>
    <cellStyle name="Normal 5 8 2 3" xfId="11569" xr:uid="{D6F3BE89-34C9-4EF2-AD7F-8BAD264789A3}"/>
    <cellStyle name="Normal 5 8 3" xfId="5192" xr:uid="{00000000-0005-0000-0000-0000DB1B0000}"/>
    <cellStyle name="Normal 5 8 3 2" xfId="13642" xr:uid="{922A3321-7763-40D6-9553-0EDC53BE3EF7}"/>
    <cellStyle name="Normal 5 8 4" xfId="9424" xr:uid="{F8879F42-19E5-41BF-9F5F-DE01DE20C6AD}"/>
    <cellStyle name="Normal 5 9" xfId="1298" xr:uid="{00000000-0005-0000-0000-0000DC1B0000}"/>
    <cellStyle name="Normal 5 9 2" xfId="3528" xr:uid="{00000000-0005-0000-0000-0000DD1B0000}"/>
    <cellStyle name="Normal 5 9 2 2" xfId="7750" xr:uid="{00000000-0005-0000-0000-0000DE1B0000}"/>
    <cellStyle name="Normal 5 9 2 2 2" xfId="16200" xr:uid="{A90DCD4C-8291-4854-A99D-E32EDE0D3118}"/>
    <cellStyle name="Normal 5 9 2 3" xfId="11982" xr:uid="{6B12718A-9F6B-4718-B437-02097746B65E}"/>
    <cellStyle name="Normal 5 9 3" xfId="5605" xr:uid="{00000000-0005-0000-0000-0000DF1B0000}"/>
    <cellStyle name="Normal 5 9 3 2" xfId="14055" xr:uid="{3D1A1785-8530-4324-9C97-2DBE80CD76D2}"/>
    <cellStyle name="Normal 5 9 4" xfId="9837" xr:uid="{8EF88F20-4F9E-4C00-A3E5-6C7654EFF828}"/>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2 2 2" xfId="17090" xr:uid="{F72356B0-1FC2-4AC8-B221-7F6C839CE000}"/>
    <cellStyle name="Normal 8 10 2 3" xfId="12872" xr:uid="{2DB32C81-B999-4AC3-B4D8-900931BE5743}"/>
    <cellStyle name="Normal 8 10 3" xfId="6495" xr:uid="{00000000-0005-0000-0000-0000EB1B0000}"/>
    <cellStyle name="Normal 8 10 3 2" xfId="14945" xr:uid="{683C5C1B-46EE-440A-BCFB-04A9E2817AF8}"/>
    <cellStyle name="Normal 8 10 4" xfId="10727" xr:uid="{F3B06702-5A8D-4770-AC65-36C5D57EDA87}"/>
    <cellStyle name="Normal 8 11" xfId="2625" xr:uid="{00000000-0005-0000-0000-0000EC1B0000}"/>
    <cellStyle name="Normal 8 11 2" xfId="6908" xr:uid="{00000000-0005-0000-0000-0000ED1B0000}"/>
    <cellStyle name="Normal 8 11 2 2" xfId="15358" xr:uid="{B485C3CA-A82F-475E-ADD6-6DA18C6488E5}"/>
    <cellStyle name="Normal 8 11 3" xfId="11140" xr:uid="{6A6FF774-AF27-4435-A7C0-C257257EB142}"/>
    <cellStyle name="Normal 8 12" xfId="4843" xr:uid="{00000000-0005-0000-0000-0000EE1B0000}"/>
    <cellStyle name="Normal 8 12 2" xfId="13293" xr:uid="{348CC498-39BF-4877-A0AD-5FD0E39DCAD5}"/>
    <cellStyle name="Normal 8 13" xfId="9075" xr:uid="{96A4405D-D5F7-4A24-9EBF-2676E00C4BFF}"/>
    <cellStyle name="Normal 8 2" xfId="479" xr:uid="{00000000-0005-0000-0000-0000EF1B0000}"/>
    <cellStyle name="Normal 8 2 10" xfId="2626" xr:uid="{00000000-0005-0000-0000-0000F01B0000}"/>
    <cellStyle name="Normal 8 2 10 2" xfId="6909" xr:uid="{00000000-0005-0000-0000-0000F11B0000}"/>
    <cellStyle name="Normal 8 2 10 2 2" xfId="15359" xr:uid="{D5FE9093-49D3-4E87-8E1D-94F3BB5DA3E1}"/>
    <cellStyle name="Normal 8 2 10 3" xfId="11141" xr:uid="{2D50FE7C-1AC1-42A0-B855-A0A1C605914D}"/>
    <cellStyle name="Normal 8 2 11" xfId="4844" xr:uid="{00000000-0005-0000-0000-0000F21B0000}"/>
    <cellStyle name="Normal 8 2 11 2" xfId="13294" xr:uid="{DBD717A7-A83C-4E51-9C0E-1EBBAFA78E94}"/>
    <cellStyle name="Normal 8 2 12" xfId="9076" xr:uid="{FB3E8B3B-7707-4982-98AD-8EEE2871FCE3}"/>
    <cellStyle name="Normal 8 2 2" xfId="480" xr:uid="{00000000-0005-0000-0000-0000F31B0000}"/>
    <cellStyle name="Normal 8 2 2 10" xfId="4845" xr:uid="{00000000-0005-0000-0000-0000F41B0000}"/>
    <cellStyle name="Normal 8 2 2 10 2" xfId="13295" xr:uid="{5AB73023-C498-49D2-808B-C12FC27AE5F2}"/>
    <cellStyle name="Normal 8 2 2 11" xfId="9077" xr:uid="{2BC5DEF0-2B8A-4257-97E2-47EB2E2EC115}"/>
    <cellStyle name="Normal 8 2 2 2" xfId="481" xr:uid="{00000000-0005-0000-0000-0000F51B0000}"/>
    <cellStyle name="Normal 8 2 2 2 10" xfId="9078" xr:uid="{E100CBAD-25CB-41B7-B1AA-AE600B868684}"/>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2 2 2" xfId="15856" xr:uid="{86642EFC-1E3B-4B07-834B-6B20B5A5F14F}"/>
    <cellStyle name="Normal 8 2 2 2 2 2 2 2 3" xfId="11638" xr:uid="{6FBBD754-CABD-45F1-BAAF-E92F7779731D}"/>
    <cellStyle name="Normal 8 2 2 2 2 2 2 3" xfId="5261" xr:uid="{00000000-0005-0000-0000-0000FB1B0000}"/>
    <cellStyle name="Normal 8 2 2 2 2 2 2 3 2" xfId="13711" xr:uid="{5AFB98FF-4D1C-4882-9E85-1F5EFD981A57}"/>
    <cellStyle name="Normal 8 2 2 2 2 2 2 4" xfId="9493" xr:uid="{AB0293A0-F1E0-463E-BD30-F5550CC59CF5}"/>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2 2 2" xfId="16269" xr:uid="{27453E0B-59A0-4D2E-A60D-70F425CC2644}"/>
    <cellStyle name="Normal 8 2 2 2 2 2 3 2 3" xfId="12051" xr:uid="{D7D46A2D-BD88-4A3B-A7C8-9DCD1AE87558}"/>
    <cellStyle name="Normal 8 2 2 2 2 2 3 3" xfId="5674" xr:uid="{00000000-0005-0000-0000-0000FF1B0000}"/>
    <cellStyle name="Normal 8 2 2 2 2 2 3 3 2" xfId="14124" xr:uid="{A28AB1A1-6FA8-438C-ADB0-DD6C3E15F3B9}"/>
    <cellStyle name="Normal 8 2 2 2 2 2 3 4" xfId="9906" xr:uid="{A4D11BD0-F051-4ECB-B61B-C5D5EF18747E}"/>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2 2 2" xfId="16682" xr:uid="{8A2FA923-8A89-40C7-B80C-151C44CEF470}"/>
    <cellStyle name="Normal 8 2 2 2 2 2 4 2 3" xfId="12464" xr:uid="{F3BAC7B9-04A1-464D-B039-531DF791018B}"/>
    <cellStyle name="Normal 8 2 2 2 2 2 4 3" xfId="6087" xr:uid="{00000000-0005-0000-0000-0000031C0000}"/>
    <cellStyle name="Normal 8 2 2 2 2 2 4 3 2" xfId="14537" xr:uid="{130DD8F9-4C56-4BDF-BAE2-942A48FDFBEF}"/>
    <cellStyle name="Normal 8 2 2 2 2 2 4 4" xfId="10319" xr:uid="{EE888D59-754E-454D-980B-1F1198FD2E34}"/>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2 2 2" xfId="17095" xr:uid="{1BB42E45-DFC3-4F28-8CE0-FE7FF05F0840}"/>
    <cellStyle name="Normal 8 2 2 2 2 2 5 2 3" xfId="12877" xr:uid="{07388A9B-F4DA-4E9A-B444-A55CCDE36027}"/>
    <cellStyle name="Normal 8 2 2 2 2 2 5 3" xfId="6500" xr:uid="{00000000-0005-0000-0000-0000071C0000}"/>
    <cellStyle name="Normal 8 2 2 2 2 2 5 3 2" xfId="14950" xr:uid="{EBDADB9B-44C4-4A9A-B69E-CEE146E1B268}"/>
    <cellStyle name="Normal 8 2 2 2 2 2 5 4" xfId="10732" xr:uid="{F180E3CF-8A75-448C-B2A6-998A1BE90323}"/>
    <cellStyle name="Normal 8 2 2 2 2 2 6" xfId="2630" xr:uid="{00000000-0005-0000-0000-0000081C0000}"/>
    <cellStyle name="Normal 8 2 2 2 2 2 6 2" xfId="6913" xr:uid="{00000000-0005-0000-0000-0000091C0000}"/>
    <cellStyle name="Normal 8 2 2 2 2 2 6 2 2" xfId="15363" xr:uid="{B453F75F-961E-4AF9-A7DB-15139F941606}"/>
    <cellStyle name="Normal 8 2 2 2 2 2 6 3" xfId="11145" xr:uid="{934EB155-31E2-421B-BCE7-79B9B6579B5B}"/>
    <cellStyle name="Normal 8 2 2 2 2 2 7" xfId="4848" xr:uid="{00000000-0005-0000-0000-00000A1C0000}"/>
    <cellStyle name="Normal 8 2 2 2 2 2 7 2" xfId="13298" xr:uid="{D2D73F89-3685-4A35-8117-572FF7744F6A}"/>
    <cellStyle name="Normal 8 2 2 2 2 2 8" xfId="9080" xr:uid="{13B18C72-0224-40B0-B260-D1C83BC29E95}"/>
    <cellStyle name="Normal 8 2 2 2 2 3" xfId="949" xr:uid="{00000000-0005-0000-0000-00000B1C0000}"/>
    <cellStyle name="Normal 8 2 2 2 2 3 2" xfId="3183" xr:uid="{00000000-0005-0000-0000-00000C1C0000}"/>
    <cellStyle name="Normal 8 2 2 2 2 3 2 2" xfId="7405" xr:uid="{00000000-0005-0000-0000-00000D1C0000}"/>
    <cellStyle name="Normal 8 2 2 2 2 3 2 2 2" xfId="15855" xr:uid="{92FD6294-76D0-4297-814B-220239F66DD0}"/>
    <cellStyle name="Normal 8 2 2 2 2 3 2 3" xfId="11637" xr:uid="{F7449F56-5699-4FC0-88FB-97B6561F5FEF}"/>
    <cellStyle name="Normal 8 2 2 2 2 3 3" xfId="5260" xr:uid="{00000000-0005-0000-0000-00000E1C0000}"/>
    <cellStyle name="Normal 8 2 2 2 2 3 3 2" xfId="13710" xr:uid="{5EB0DA9A-335E-4AFB-9732-02DAEF79B995}"/>
    <cellStyle name="Normal 8 2 2 2 2 3 4" xfId="9492" xr:uid="{9BE4780B-50BE-4197-9E39-5233658EDB6B}"/>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2 2 2" xfId="16268" xr:uid="{F88F827E-BDBA-4A31-ACDB-53F25DC25A4D}"/>
    <cellStyle name="Normal 8 2 2 2 2 4 2 3" xfId="12050" xr:uid="{01915AD4-FAE2-4E26-978F-EE22C000D829}"/>
    <cellStyle name="Normal 8 2 2 2 2 4 3" xfId="5673" xr:uid="{00000000-0005-0000-0000-0000121C0000}"/>
    <cellStyle name="Normal 8 2 2 2 2 4 3 2" xfId="14123" xr:uid="{F367D05B-CDB0-403B-BC8B-35F696C53B80}"/>
    <cellStyle name="Normal 8 2 2 2 2 4 4" xfId="9905" xr:uid="{EBC14CB0-BD7C-463F-8FD0-ECB19A42B6C7}"/>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2 2 2" xfId="16681" xr:uid="{4D144396-13E4-4C4D-AC58-A2485A574A98}"/>
    <cellStyle name="Normal 8 2 2 2 2 5 2 3" xfId="12463" xr:uid="{EEF4CF86-D1EB-4618-9521-09D9AA1EB493}"/>
    <cellStyle name="Normal 8 2 2 2 2 5 3" xfId="6086" xr:uid="{00000000-0005-0000-0000-0000161C0000}"/>
    <cellStyle name="Normal 8 2 2 2 2 5 3 2" xfId="14536" xr:uid="{4389709B-A580-42F3-9CEF-14F6E1AA5E15}"/>
    <cellStyle name="Normal 8 2 2 2 2 5 4" xfId="10318" xr:uid="{2B81F2D1-9468-49CD-86E7-4577A91C79D7}"/>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2 2 2" xfId="17094" xr:uid="{17859502-1D01-4C51-B431-98CAD45B7327}"/>
    <cellStyle name="Normal 8 2 2 2 2 6 2 3" xfId="12876" xr:uid="{1F6B565C-6B62-4E17-AFAB-643626A403DF}"/>
    <cellStyle name="Normal 8 2 2 2 2 6 3" xfId="6499" xr:uid="{00000000-0005-0000-0000-00001A1C0000}"/>
    <cellStyle name="Normal 8 2 2 2 2 6 3 2" xfId="14949" xr:uid="{C60ACC8D-7CFF-4706-ABFD-E5D0D18628BD}"/>
    <cellStyle name="Normal 8 2 2 2 2 6 4" xfId="10731" xr:uid="{61AFFF8C-67BD-4A9E-A653-C6845C2094B2}"/>
    <cellStyle name="Normal 8 2 2 2 2 7" xfId="2629" xr:uid="{00000000-0005-0000-0000-00001B1C0000}"/>
    <cellStyle name="Normal 8 2 2 2 2 7 2" xfId="6912" xr:uid="{00000000-0005-0000-0000-00001C1C0000}"/>
    <cellStyle name="Normal 8 2 2 2 2 7 2 2" xfId="15362" xr:uid="{B24DEDBE-5036-49EB-BD96-99C2A6DEB871}"/>
    <cellStyle name="Normal 8 2 2 2 2 7 3" xfId="11144" xr:uid="{330EB975-33EA-4BCD-900A-378F09B9FA74}"/>
    <cellStyle name="Normal 8 2 2 2 2 8" xfId="4847" xr:uid="{00000000-0005-0000-0000-00001D1C0000}"/>
    <cellStyle name="Normal 8 2 2 2 2 8 2" xfId="13297" xr:uid="{C6E9E843-5444-4D4C-AF55-2ABB578CA649}"/>
    <cellStyle name="Normal 8 2 2 2 2 9" xfId="9079" xr:uid="{C4EF4931-3940-466D-A9B0-9DB15EFBCC4D}"/>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2 2 2" xfId="15857" xr:uid="{B3BFA070-3A04-459A-A6EA-B762E1D77CB4}"/>
    <cellStyle name="Normal 8 2 2 2 3 2 2 3" xfId="11639" xr:uid="{D6F5DC19-1913-4B7E-B814-E6824021AAFB}"/>
    <cellStyle name="Normal 8 2 2 2 3 2 3" xfId="5262" xr:uid="{00000000-0005-0000-0000-0000221C0000}"/>
    <cellStyle name="Normal 8 2 2 2 3 2 3 2" xfId="13712" xr:uid="{9DDCDF28-2F7B-44EE-89B6-0CD5DBD978FF}"/>
    <cellStyle name="Normal 8 2 2 2 3 2 4" xfId="9494" xr:uid="{F341EAFC-08C6-45F7-AA72-868B3643A897}"/>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2 2 2" xfId="16270" xr:uid="{A9797EA2-F8B1-402B-991E-CE790308329B}"/>
    <cellStyle name="Normal 8 2 2 2 3 3 2 3" xfId="12052" xr:uid="{0571AB97-9C54-4A81-A6E6-B88EF0C464CB}"/>
    <cellStyle name="Normal 8 2 2 2 3 3 3" xfId="5675" xr:uid="{00000000-0005-0000-0000-0000261C0000}"/>
    <cellStyle name="Normal 8 2 2 2 3 3 3 2" xfId="14125" xr:uid="{098C0434-FB8A-44A9-84A1-E90390190D49}"/>
    <cellStyle name="Normal 8 2 2 2 3 3 4" xfId="9907" xr:uid="{24BF82C1-6E16-43AF-A3B9-4ACD2C3D527D}"/>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2 2 2" xfId="16683" xr:uid="{35FE16E9-D8C8-4AA1-AB71-92ABA6E78DB5}"/>
    <cellStyle name="Normal 8 2 2 2 3 4 2 3" xfId="12465" xr:uid="{A378972B-0409-40E0-98A2-D20D7986E310}"/>
    <cellStyle name="Normal 8 2 2 2 3 4 3" xfId="6088" xr:uid="{00000000-0005-0000-0000-00002A1C0000}"/>
    <cellStyle name="Normal 8 2 2 2 3 4 3 2" xfId="14538" xr:uid="{BCAD915A-BD96-454E-BF9B-3789747AE8ED}"/>
    <cellStyle name="Normal 8 2 2 2 3 4 4" xfId="10320" xr:uid="{D7AA2C15-C506-4879-9F0C-3BDF67E4338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2 2 2" xfId="17096" xr:uid="{09EC27D9-8F76-43B2-A6F0-DE013C4C951E}"/>
    <cellStyle name="Normal 8 2 2 2 3 5 2 3" xfId="12878" xr:uid="{523BD173-1A2C-4D64-B10F-C1D4605148E1}"/>
    <cellStyle name="Normal 8 2 2 2 3 5 3" xfId="6501" xr:uid="{00000000-0005-0000-0000-00002E1C0000}"/>
    <cellStyle name="Normal 8 2 2 2 3 5 3 2" xfId="14951" xr:uid="{E645413A-C9CF-4151-AFA3-75FAC71C17DB}"/>
    <cellStyle name="Normal 8 2 2 2 3 5 4" xfId="10733" xr:uid="{C752DC09-F240-449C-83B4-E22226C59FA3}"/>
    <cellStyle name="Normal 8 2 2 2 3 6" xfId="2631" xr:uid="{00000000-0005-0000-0000-00002F1C0000}"/>
    <cellStyle name="Normal 8 2 2 2 3 6 2" xfId="6914" xr:uid="{00000000-0005-0000-0000-0000301C0000}"/>
    <cellStyle name="Normal 8 2 2 2 3 6 2 2" xfId="15364" xr:uid="{41DDA6A7-EF02-4828-86B5-0E2C0A952A5E}"/>
    <cellStyle name="Normal 8 2 2 2 3 6 3" xfId="11146" xr:uid="{64F42048-3DF5-426C-83C1-844B6E4A19C8}"/>
    <cellStyle name="Normal 8 2 2 2 3 7" xfId="4849" xr:uid="{00000000-0005-0000-0000-0000311C0000}"/>
    <cellStyle name="Normal 8 2 2 2 3 7 2" xfId="13299" xr:uid="{79DCA18D-025A-43A8-9620-B92C4B6072BC}"/>
    <cellStyle name="Normal 8 2 2 2 3 8" xfId="9081" xr:uid="{1819877A-4F7C-4D13-BA10-D8EEE52DA92C}"/>
    <cellStyle name="Normal 8 2 2 2 4" xfId="948" xr:uid="{00000000-0005-0000-0000-0000321C0000}"/>
    <cellStyle name="Normal 8 2 2 2 4 2" xfId="3182" xr:uid="{00000000-0005-0000-0000-0000331C0000}"/>
    <cellStyle name="Normal 8 2 2 2 4 2 2" xfId="7404" xr:uid="{00000000-0005-0000-0000-0000341C0000}"/>
    <cellStyle name="Normal 8 2 2 2 4 2 2 2" xfId="15854" xr:uid="{E09780E3-DD50-4B28-B58E-D5710AD92B1D}"/>
    <cellStyle name="Normal 8 2 2 2 4 2 3" xfId="11636" xr:uid="{D3E2C83F-F084-4273-A571-041DD1C3CD93}"/>
    <cellStyle name="Normal 8 2 2 2 4 3" xfId="5259" xr:uid="{00000000-0005-0000-0000-0000351C0000}"/>
    <cellStyle name="Normal 8 2 2 2 4 3 2" xfId="13709" xr:uid="{FE03B4F7-6652-45D3-BFDF-7C78D479138A}"/>
    <cellStyle name="Normal 8 2 2 2 4 4" xfId="9491" xr:uid="{A2F042A2-B270-452E-83DF-5954ABFB829E}"/>
    <cellStyle name="Normal 8 2 2 2 5" xfId="1365" xr:uid="{00000000-0005-0000-0000-0000361C0000}"/>
    <cellStyle name="Normal 8 2 2 2 5 2" xfId="3595" xr:uid="{00000000-0005-0000-0000-0000371C0000}"/>
    <cellStyle name="Normal 8 2 2 2 5 2 2" xfId="7817" xr:uid="{00000000-0005-0000-0000-0000381C0000}"/>
    <cellStyle name="Normal 8 2 2 2 5 2 2 2" xfId="16267" xr:uid="{5A1B7BAB-8432-4751-B9D5-9D5935134690}"/>
    <cellStyle name="Normal 8 2 2 2 5 2 3" xfId="12049" xr:uid="{628BE0B1-9CC8-40DF-816E-A61274F62FB0}"/>
    <cellStyle name="Normal 8 2 2 2 5 3" xfId="5672" xr:uid="{00000000-0005-0000-0000-0000391C0000}"/>
    <cellStyle name="Normal 8 2 2 2 5 3 2" xfId="14122" xr:uid="{D5BFC17F-C39C-47F9-A705-0BEDB73722B9}"/>
    <cellStyle name="Normal 8 2 2 2 5 4" xfId="9904" xr:uid="{80AF7C0E-55AB-4569-93E5-A4943C4D189A}"/>
    <cellStyle name="Normal 8 2 2 2 6" xfId="1778" xr:uid="{00000000-0005-0000-0000-00003A1C0000}"/>
    <cellStyle name="Normal 8 2 2 2 6 2" xfId="4008" xr:uid="{00000000-0005-0000-0000-00003B1C0000}"/>
    <cellStyle name="Normal 8 2 2 2 6 2 2" xfId="8230" xr:uid="{00000000-0005-0000-0000-00003C1C0000}"/>
    <cellStyle name="Normal 8 2 2 2 6 2 2 2" xfId="16680" xr:uid="{C7FF43EE-8061-46D9-98C5-1A3AFD5CA8D3}"/>
    <cellStyle name="Normal 8 2 2 2 6 2 3" xfId="12462" xr:uid="{16529123-D266-4AA7-AFAA-39D82AF0E7D8}"/>
    <cellStyle name="Normal 8 2 2 2 6 3" xfId="6085" xr:uid="{00000000-0005-0000-0000-00003D1C0000}"/>
    <cellStyle name="Normal 8 2 2 2 6 3 2" xfId="14535" xr:uid="{88656861-1147-4968-8E96-F5DCDD2D1D91}"/>
    <cellStyle name="Normal 8 2 2 2 6 4" xfId="10317" xr:uid="{D0723043-2B98-4D0D-8F9A-00B69C41275E}"/>
    <cellStyle name="Normal 8 2 2 2 7" xfId="2192" xr:uid="{00000000-0005-0000-0000-00003E1C0000}"/>
    <cellStyle name="Normal 8 2 2 2 7 2" xfId="4421" xr:uid="{00000000-0005-0000-0000-00003F1C0000}"/>
    <cellStyle name="Normal 8 2 2 2 7 2 2" xfId="8643" xr:uid="{00000000-0005-0000-0000-0000401C0000}"/>
    <cellStyle name="Normal 8 2 2 2 7 2 2 2" xfId="17093" xr:uid="{B1AD5B8F-FBBD-4C6E-A8E8-0898A3220F20}"/>
    <cellStyle name="Normal 8 2 2 2 7 2 3" xfId="12875" xr:uid="{3D3EEAEB-9FD7-43A5-953F-926C88FA4AEB}"/>
    <cellStyle name="Normal 8 2 2 2 7 3" xfId="6498" xr:uid="{00000000-0005-0000-0000-0000411C0000}"/>
    <cellStyle name="Normal 8 2 2 2 7 3 2" xfId="14948" xr:uid="{9F90659B-6C07-4E73-9D18-7A972EABC9DE}"/>
    <cellStyle name="Normal 8 2 2 2 7 4" xfId="10730" xr:uid="{8B0C4BF2-AC28-4B85-801E-22926A4FEE64}"/>
    <cellStyle name="Normal 8 2 2 2 8" xfId="2628" xr:uid="{00000000-0005-0000-0000-0000421C0000}"/>
    <cellStyle name="Normal 8 2 2 2 8 2" xfId="6911" xr:uid="{00000000-0005-0000-0000-0000431C0000}"/>
    <cellStyle name="Normal 8 2 2 2 8 2 2" xfId="15361" xr:uid="{AD398E2C-A069-4EB4-87C5-19BB6735DD76}"/>
    <cellStyle name="Normal 8 2 2 2 8 3" xfId="11143" xr:uid="{0F806147-7C41-4C0F-BBA5-48AAECDCF416}"/>
    <cellStyle name="Normal 8 2 2 2 9" xfId="4846" xr:uid="{00000000-0005-0000-0000-0000441C0000}"/>
    <cellStyle name="Normal 8 2 2 2 9 2" xfId="13296" xr:uid="{B2F952BB-2FA1-4632-B48B-87BF94E4B4FD}"/>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2 2 2" xfId="15859" xr:uid="{F0A65B66-4544-4E18-AA04-88BF683E7CA3}"/>
    <cellStyle name="Normal 8 2 2 3 2 2 2 3" xfId="11641" xr:uid="{95CE0B43-D177-4AEC-BB86-61DC33E31C97}"/>
    <cellStyle name="Normal 8 2 2 3 2 2 3" xfId="5264" xr:uid="{00000000-0005-0000-0000-00004A1C0000}"/>
    <cellStyle name="Normal 8 2 2 3 2 2 3 2" xfId="13714" xr:uid="{280D29C7-BD20-4B55-AC49-7FAE8FC5E16E}"/>
    <cellStyle name="Normal 8 2 2 3 2 2 4" xfId="9496" xr:uid="{E55405D0-BAC3-4B25-8A5C-57843EF27D3E}"/>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2 2 2" xfId="16272" xr:uid="{5F3828A4-0010-4453-ACFB-BEAB30B4E627}"/>
    <cellStyle name="Normal 8 2 2 3 2 3 2 3" xfId="12054" xr:uid="{09183A89-F77B-4E47-B211-13E2EDF5B161}"/>
    <cellStyle name="Normal 8 2 2 3 2 3 3" xfId="5677" xr:uid="{00000000-0005-0000-0000-00004E1C0000}"/>
    <cellStyle name="Normal 8 2 2 3 2 3 3 2" xfId="14127" xr:uid="{912B8BFF-C6FB-46BA-BE7E-072748DD5662}"/>
    <cellStyle name="Normal 8 2 2 3 2 3 4" xfId="9909" xr:uid="{059F7D26-9CA3-42F0-AF73-737CE1B4C13F}"/>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2 2 2" xfId="16685" xr:uid="{28893023-C1B9-4C18-8342-257D40E34D95}"/>
    <cellStyle name="Normal 8 2 2 3 2 4 2 3" xfId="12467" xr:uid="{4F584716-CC77-4A3D-92E7-669F1154CCAC}"/>
    <cellStyle name="Normal 8 2 2 3 2 4 3" xfId="6090" xr:uid="{00000000-0005-0000-0000-0000521C0000}"/>
    <cellStyle name="Normal 8 2 2 3 2 4 3 2" xfId="14540" xr:uid="{514CE022-6A01-45EE-B339-C20EB28BE0B1}"/>
    <cellStyle name="Normal 8 2 2 3 2 4 4" xfId="10322" xr:uid="{9B3183A5-F371-4F37-974D-A68D1F06836C}"/>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2 2 2" xfId="17098" xr:uid="{72E3C1E7-CA52-444A-B820-1BCED8CB7506}"/>
    <cellStyle name="Normal 8 2 2 3 2 5 2 3" xfId="12880" xr:uid="{7E634E9D-8AE2-4698-90DB-450485E752D3}"/>
    <cellStyle name="Normal 8 2 2 3 2 5 3" xfId="6503" xr:uid="{00000000-0005-0000-0000-0000561C0000}"/>
    <cellStyle name="Normal 8 2 2 3 2 5 3 2" xfId="14953" xr:uid="{6055B4C2-30DF-4661-BE68-681DFC4881F4}"/>
    <cellStyle name="Normal 8 2 2 3 2 5 4" xfId="10735" xr:uid="{5B1AD3CA-C5D4-420A-ACFD-2CB7511F86A6}"/>
    <cellStyle name="Normal 8 2 2 3 2 6" xfId="2633" xr:uid="{00000000-0005-0000-0000-0000571C0000}"/>
    <cellStyle name="Normal 8 2 2 3 2 6 2" xfId="6916" xr:uid="{00000000-0005-0000-0000-0000581C0000}"/>
    <cellStyle name="Normal 8 2 2 3 2 6 2 2" xfId="15366" xr:uid="{946D7C2D-60A8-4868-8F5B-2A0CED54ED19}"/>
    <cellStyle name="Normal 8 2 2 3 2 6 3" xfId="11148" xr:uid="{C65DE2EA-5500-45D9-AEC4-6D9CB5F8E88A}"/>
    <cellStyle name="Normal 8 2 2 3 2 7" xfId="4851" xr:uid="{00000000-0005-0000-0000-0000591C0000}"/>
    <cellStyle name="Normal 8 2 2 3 2 7 2" xfId="13301" xr:uid="{019087CF-C195-406F-8C49-3C49DC72D326}"/>
    <cellStyle name="Normal 8 2 2 3 2 8" xfId="9083" xr:uid="{6791084F-D275-4692-95D6-74214ADD27CC}"/>
    <cellStyle name="Normal 8 2 2 3 3" xfId="952" xr:uid="{00000000-0005-0000-0000-00005A1C0000}"/>
    <cellStyle name="Normal 8 2 2 3 3 2" xfId="3186" xr:uid="{00000000-0005-0000-0000-00005B1C0000}"/>
    <cellStyle name="Normal 8 2 2 3 3 2 2" xfId="7408" xr:uid="{00000000-0005-0000-0000-00005C1C0000}"/>
    <cellStyle name="Normal 8 2 2 3 3 2 2 2" xfId="15858" xr:uid="{FF12FD15-D823-439E-958D-953E355AF020}"/>
    <cellStyle name="Normal 8 2 2 3 3 2 3" xfId="11640" xr:uid="{200C4AE6-2FCA-4659-A613-F59CC6DE23AB}"/>
    <cellStyle name="Normal 8 2 2 3 3 3" xfId="5263" xr:uid="{00000000-0005-0000-0000-00005D1C0000}"/>
    <cellStyle name="Normal 8 2 2 3 3 3 2" xfId="13713" xr:uid="{DE671155-9776-4EBA-827C-1BBF3903DD76}"/>
    <cellStyle name="Normal 8 2 2 3 3 4" xfId="9495" xr:uid="{78EF8D2E-961D-48F7-8B23-89F90E76E2D1}"/>
    <cellStyle name="Normal 8 2 2 3 4" xfId="1369" xr:uid="{00000000-0005-0000-0000-00005E1C0000}"/>
    <cellStyle name="Normal 8 2 2 3 4 2" xfId="3599" xr:uid="{00000000-0005-0000-0000-00005F1C0000}"/>
    <cellStyle name="Normal 8 2 2 3 4 2 2" xfId="7821" xr:uid="{00000000-0005-0000-0000-0000601C0000}"/>
    <cellStyle name="Normal 8 2 2 3 4 2 2 2" xfId="16271" xr:uid="{2C08CD74-FB32-4B88-BD89-92897DD90F9B}"/>
    <cellStyle name="Normal 8 2 2 3 4 2 3" xfId="12053" xr:uid="{9704A24F-A73F-4FAE-815C-7CA34412D25C}"/>
    <cellStyle name="Normal 8 2 2 3 4 3" xfId="5676" xr:uid="{00000000-0005-0000-0000-0000611C0000}"/>
    <cellStyle name="Normal 8 2 2 3 4 3 2" xfId="14126" xr:uid="{C2480205-434E-4EB5-969F-761998DBCAB0}"/>
    <cellStyle name="Normal 8 2 2 3 4 4" xfId="9908" xr:uid="{0A6A1225-55C4-4597-8C93-81CA5E9CF873}"/>
    <cellStyle name="Normal 8 2 2 3 5" xfId="1782" xr:uid="{00000000-0005-0000-0000-0000621C0000}"/>
    <cellStyle name="Normal 8 2 2 3 5 2" xfId="4012" xr:uid="{00000000-0005-0000-0000-0000631C0000}"/>
    <cellStyle name="Normal 8 2 2 3 5 2 2" xfId="8234" xr:uid="{00000000-0005-0000-0000-0000641C0000}"/>
    <cellStyle name="Normal 8 2 2 3 5 2 2 2" xfId="16684" xr:uid="{F58A866F-2B80-4CBC-AC09-2FEE6D45B463}"/>
    <cellStyle name="Normal 8 2 2 3 5 2 3" xfId="12466" xr:uid="{5DA65942-9913-445F-B5A9-41BEFE946616}"/>
    <cellStyle name="Normal 8 2 2 3 5 3" xfId="6089" xr:uid="{00000000-0005-0000-0000-0000651C0000}"/>
    <cellStyle name="Normal 8 2 2 3 5 3 2" xfId="14539" xr:uid="{0C848F29-B619-4EC8-B93A-A633E4D383CD}"/>
    <cellStyle name="Normal 8 2 2 3 5 4" xfId="10321" xr:uid="{2156FF6C-5E4C-4A74-BFD6-B6299B827C11}"/>
    <cellStyle name="Normal 8 2 2 3 6" xfId="2196" xr:uid="{00000000-0005-0000-0000-0000661C0000}"/>
    <cellStyle name="Normal 8 2 2 3 6 2" xfId="4425" xr:uid="{00000000-0005-0000-0000-0000671C0000}"/>
    <cellStyle name="Normal 8 2 2 3 6 2 2" xfId="8647" xr:uid="{00000000-0005-0000-0000-0000681C0000}"/>
    <cellStyle name="Normal 8 2 2 3 6 2 2 2" xfId="17097" xr:uid="{2DB983F3-4A04-4074-AA2B-2E279CC58050}"/>
    <cellStyle name="Normal 8 2 2 3 6 2 3" xfId="12879" xr:uid="{59820C58-2169-4A23-B37B-498B7F913745}"/>
    <cellStyle name="Normal 8 2 2 3 6 3" xfId="6502" xr:uid="{00000000-0005-0000-0000-0000691C0000}"/>
    <cellStyle name="Normal 8 2 2 3 6 3 2" xfId="14952" xr:uid="{558155FB-D5FA-406F-9D67-6CE1C59CA1AD}"/>
    <cellStyle name="Normal 8 2 2 3 6 4" xfId="10734" xr:uid="{62359E4A-6CD3-4AAA-8065-4532EC376A9D}"/>
    <cellStyle name="Normal 8 2 2 3 7" xfId="2632" xr:uid="{00000000-0005-0000-0000-00006A1C0000}"/>
    <cellStyle name="Normal 8 2 2 3 7 2" xfId="6915" xr:uid="{00000000-0005-0000-0000-00006B1C0000}"/>
    <cellStyle name="Normal 8 2 2 3 7 2 2" xfId="15365" xr:uid="{7CBBC8AE-8F9A-44AF-9C33-067AE7397650}"/>
    <cellStyle name="Normal 8 2 2 3 7 3" xfId="11147" xr:uid="{01ADE921-019D-4391-B46E-CCAD08672235}"/>
    <cellStyle name="Normal 8 2 2 3 8" xfId="4850" xr:uid="{00000000-0005-0000-0000-00006C1C0000}"/>
    <cellStyle name="Normal 8 2 2 3 8 2" xfId="13300" xr:uid="{7E71D60C-350A-41DB-AAD8-5DD7BB8F9EDB}"/>
    <cellStyle name="Normal 8 2 2 3 9" xfId="9082" xr:uid="{27442524-2CF6-4F5A-BC63-51EF1570E4C4}"/>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2 2 2" xfId="15860" xr:uid="{713AEC12-777D-429D-8ECA-2C79AA3A473D}"/>
    <cellStyle name="Normal 8 2 2 4 2 2 3" xfId="11642" xr:uid="{53A47BA0-60B2-483A-9DB1-E9957989FEA7}"/>
    <cellStyle name="Normal 8 2 2 4 2 3" xfId="5265" xr:uid="{00000000-0005-0000-0000-0000711C0000}"/>
    <cellStyle name="Normal 8 2 2 4 2 3 2" xfId="13715" xr:uid="{ED096912-4296-443B-A0B6-E2D1A0385A3F}"/>
    <cellStyle name="Normal 8 2 2 4 2 4" xfId="9497" xr:uid="{981C5A1C-235C-4953-ADBA-5021F60CFDCE}"/>
    <cellStyle name="Normal 8 2 2 4 3" xfId="1371" xr:uid="{00000000-0005-0000-0000-0000721C0000}"/>
    <cellStyle name="Normal 8 2 2 4 3 2" xfId="3601" xr:uid="{00000000-0005-0000-0000-0000731C0000}"/>
    <cellStyle name="Normal 8 2 2 4 3 2 2" xfId="7823" xr:uid="{00000000-0005-0000-0000-0000741C0000}"/>
    <cellStyle name="Normal 8 2 2 4 3 2 2 2" xfId="16273" xr:uid="{8CD9C8FE-7DFE-4C88-9884-F8C1A88EBCA4}"/>
    <cellStyle name="Normal 8 2 2 4 3 2 3" xfId="12055" xr:uid="{82311FF1-B809-4020-A6EF-680313B726A5}"/>
    <cellStyle name="Normal 8 2 2 4 3 3" xfId="5678" xr:uid="{00000000-0005-0000-0000-0000751C0000}"/>
    <cellStyle name="Normal 8 2 2 4 3 3 2" xfId="14128" xr:uid="{C2DFF8BA-D594-4187-80EF-35E6D0FDB984}"/>
    <cellStyle name="Normal 8 2 2 4 3 4" xfId="9910" xr:uid="{036F09B5-0643-4E64-9BF2-0115A05A1481}"/>
    <cellStyle name="Normal 8 2 2 4 4" xfId="1784" xr:uid="{00000000-0005-0000-0000-0000761C0000}"/>
    <cellStyle name="Normal 8 2 2 4 4 2" xfId="4014" xr:uid="{00000000-0005-0000-0000-0000771C0000}"/>
    <cellStyle name="Normal 8 2 2 4 4 2 2" xfId="8236" xr:uid="{00000000-0005-0000-0000-0000781C0000}"/>
    <cellStyle name="Normal 8 2 2 4 4 2 2 2" xfId="16686" xr:uid="{A765F021-B157-45FF-ADD5-7FC460D08F67}"/>
    <cellStyle name="Normal 8 2 2 4 4 2 3" xfId="12468" xr:uid="{E8433A67-7638-419F-9EFE-A06DD3CD1E54}"/>
    <cellStyle name="Normal 8 2 2 4 4 3" xfId="6091" xr:uid="{00000000-0005-0000-0000-0000791C0000}"/>
    <cellStyle name="Normal 8 2 2 4 4 3 2" xfId="14541" xr:uid="{12F94F89-3092-4C53-8EA4-B869EF1AD503}"/>
    <cellStyle name="Normal 8 2 2 4 4 4" xfId="10323" xr:uid="{086FD054-1032-4682-8C17-C8173B943CF9}"/>
    <cellStyle name="Normal 8 2 2 4 5" xfId="2198" xr:uid="{00000000-0005-0000-0000-00007A1C0000}"/>
    <cellStyle name="Normal 8 2 2 4 5 2" xfId="4427" xr:uid="{00000000-0005-0000-0000-00007B1C0000}"/>
    <cellStyle name="Normal 8 2 2 4 5 2 2" xfId="8649" xr:uid="{00000000-0005-0000-0000-00007C1C0000}"/>
    <cellStyle name="Normal 8 2 2 4 5 2 2 2" xfId="17099" xr:uid="{11876AC1-A07F-456E-A838-10B09571B109}"/>
    <cellStyle name="Normal 8 2 2 4 5 2 3" xfId="12881" xr:uid="{03087023-898A-4A7D-95B5-2D237D15CF09}"/>
    <cellStyle name="Normal 8 2 2 4 5 3" xfId="6504" xr:uid="{00000000-0005-0000-0000-00007D1C0000}"/>
    <cellStyle name="Normal 8 2 2 4 5 3 2" xfId="14954" xr:uid="{B3158C2F-43AF-4A6D-97F1-C8A9E1F9E029}"/>
    <cellStyle name="Normal 8 2 2 4 5 4" xfId="10736" xr:uid="{3FEAABE1-7681-451E-A657-3BEC36B25B01}"/>
    <cellStyle name="Normal 8 2 2 4 6" xfId="2634" xr:uid="{00000000-0005-0000-0000-00007E1C0000}"/>
    <cellStyle name="Normal 8 2 2 4 6 2" xfId="6917" xr:uid="{00000000-0005-0000-0000-00007F1C0000}"/>
    <cellStyle name="Normal 8 2 2 4 6 2 2" xfId="15367" xr:uid="{364C2BBD-5ED3-473E-BE13-AFE32316AD75}"/>
    <cellStyle name="Normal 8 2 2 4 6 3" xfId="11149" xr:uid="{AB3CFC3F-53C5-4968-9C54-DACDA791BE87}"/>
    <cellStyle name="Normal 8 2 2 4 7" xfId="4852" xr:uid="{00000000-0005-0000-0000-0000801C0000}"/>
    <cellStyle name="Normal 8 2 2 4 7 2" xfId="13302" xr:uid="{78C9C5B3-7778-48E2-BE1C-434B34953E79}"/>
    <cellStyle name="Normal 8 2 2 4 8" xfId="9084" xr:uid="{BA05DC58-6407-4AF6-9DDF-A7CE8108DC19}"/>
    <cellStyle name="Normal 8 2 2 5" xfId="947" xr:uid="{00000000-0005-0000-0000-0000811C0000}"/>
    <cellStyle name="Normal 8 2 2 5 2" xfId="3181" xr:uid="{00000000-0005-0000-0000-0000821C0000}"/>
    <cellStyle name="Normal 8 2 2 5 2 2" xfId="7403" xr:uid="{00000000-0005-0000-0000-0000831C0000}"/>
    <cellStyle name="Normal 8 2 2 5 2 2 2" xfId="15853" xr:uid="{3F866B16-F6D6-4591-8929-888A2920AC88}"/>
    <cellStyle name="Normal 8 2 2 5 2 3" xfId="11635" xr:uid="{D6D102AA-1DC3-4B82-8D20-4DB3389D360A}"/>
    <cellStyle name="Normal 8 2 2 5 3" xfId="5258" xr:uid="{00000000-0005-0000-0000-0000841C0000}"/>
    <cellStyle name="Normal 8 2 2 5 3 2" xfId="13708" xr:uid="{70535011-28C6-4C6F-B0B2-A60283181A8B}"/>
    <cellStyle name="Normal 8 2 2 5 4" xfId="9490" xr:uid="{9BBBAD4A-94B6-4437-8AE3-FAEDCEF91C13}"/>
    <cellStyle name="Normal 8 2 2 6" xfId="1364" xr:uid="{00000000-0005-0000-0000-0000851C0000}"/>
    <cellStyle name="Normal 8 2 2 6 2" xfId="3594" xr:uid="{00000000-0005-0000-0000-0000861C0000}"/>
    <cellStyle name="Normal 8 2 2 6 2 2" xfId="7816" xr:uid="{00000000-0005-0000-0000-0000871C0000}"/>
    <cellStyle name="Normal 8 2 2 6 2 2 2" xfId="16266" xr:uid="{F3177A27-1493-4CC8-8AA7-D89EA82A40E2}"/>
    <cellStyle name="Normal 8 2 2 6 2 3" xfId="12048" xr:uid="{1F4FB966-A535-4952-92FA-6850D6968E95}"/>
    <cellStyle name="Normal 8 2 2 6 3" xfId="5671" xr:uid="{00000000-0005-0000-0000-0000881C0000}"/>
    <cellStyle name="Normal 8 2 2 6 3 2" xfId="14121" xr:uid="{E9489BE5-16DB-446F-A737-D4CDAEA8C44D}"/>
    <cellStyle name="Normal 8 2 2 6 4" xfId="9903" xr:uid="{869EFEAC-C9F9-4397-A4E5-5C2C05E81301}"/>
    <cellStyle name="Normal 8 2 2 7" xfId="1777" xr:uid="{00000000-0005-0000-0000-0000891C0000}"/>
    <cellStyle name="Normal 8 2 2 7 2" xfId="4007" xr:uid="{00000000-0005-0000-0000-00008A1C0000}"/>
    <cellStyle name="Normal 8 2 2 7 2 2" xfId="8229" xr:uid="{00000000-0005-0000-0000-00008B1C0000}"/>
    <cellStyle name="Normal 8 2 2 7 2 2 2" xfId="16679" xr:uid="{CBBB210A-F027-4592-92B3-5D282DDF4C49}"/>
    <cellStyle name="Normal 8 2 2 7 2 3" xfId="12461" xr:uid="{41011C7F-518C-4A49-924B-6CBA28AB8A93}"/>
    <cellStyle name="Normal 8 2 2 7 3" xfId="6084" xr:uid="{00000000-0005-0000-0000-00008C1C0000}"/>
    <cellStyle name="Normal 8 2 2 7 3 2" xfId="14534" xr:uid="{64DE0655-350D-4223-B593-F1ED1D21D19C}"/>
    <cellStyle name="Normal 8 2 2 7 4" xfId="10316" xr:uid="{ADF6E312-B5D2-4823-8E6A-1C7B1A3B7DD3}"/>
    <cellStyle name="Normal 8 2 2 8" xfId="2191" xr:uid="{00000000-0005-0000-0000-00008D1C0000}"/>
    <cellStyle name="Normal 8 2 2 8 2" xfId="4420" xr:uid="{00000000-0005-0000-0000-00008E1C0000}"/>
    <cellStyle name="Normal 8 2 2 8 2 2" xfId="8642" xr:uid="{00000000-0005-0000-0000-00008F1C0000}"/>
    <cellStyle name="Normal 8 2 2 8 2 2 2" xfId="17092" xr:uid="{4687F1D8-BD2F-4B76-9950-DE0775B0985F}"/>
    <cellStyle name="Normal 8 2 2 8 2 3" xfId="12874" xr:uid="{E3C4A244-0348-4702-A374-B2D453ABC510}"/>
    <cellStyle name="Normal 8 2 2 8 3" xfId="6497" xr:uid="{00000000-0005-0000-0000-0000901C0000}"/>
    <cellStyle name="Normal 8 2 2 8 3 2" xfId="14947" xr:uid="{96DDC7FB-31CE-4719-BEF1-9860639D85C2}"/>
    <cellStyle name="Normal 8 2 2 8 4" xfId="10729" xr:uid="{08DB8B8F-6C19-4AE0-99B8-63D84A17CBB9}"/>
    <cellStyle name="Normal 8 2 2 9" xfId="2627" xr:uid="{00000000-0005-0000-0000-0000911C0000}"/>
    <cellStyle name="Normal 8 2 2 9 2" xfId="6910" xr:uid="{00000000-0005-0000-0000-0000921C0000}"/>
    <cellStyle name="Normal 8 2 2 9 2 2" xfId="15360" xr:uid="{C29D1F01-281D-4F87-A0F6-B77388F82F0E}"/>
    <cellStyle name="Normal 8 2 2 9 3" xfId="11142" xr:uid="{93F8D103-4B3C-431A-BE63-6CE427800B1A}"/>
    <cellStyle name="Normal 8 2 3" xfId="488" xr:uid="{00000000-0005-0000-0000-0000931C0000}"/>
    <cellStyle name="Normal 8 2 3 10" xfId="9085" xr:uid="{3FF72B9F-DD0B-4D0D-9A30-1428BD68EE23}"/>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2 2 2" xfId="15863" xr:uid="{3984563B-228E-4CC5-AA73-4846263C37D7}"/>
    <cellStyle name="Normal 8 2 3 2 2 2 2 3" xfId="11645" xr:uid="{A444686F-6581-4B8C-B81D-B8B0400E6EBF}"/>
    <cellStyle name="Normal 8 2 3 2 2 2 3" xfId="5268" xr:uid="{00000000-0005-0000-0000-0000991C0000}"/>
    <cellStyle name="Normal 8 2 3 2 2 2 3 2" xfId="13718" xr:uid="{59A96652-2D8E-45E5-9CA5-507EAC6DD303}"/>
    <cellStyle name="Normal 8 2 3 2 2 2 4" xfId="9500" xr:uid="{46B99105-6D24-42BA-9A92-E1EB220798C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2 2 2" xfId="16276" xr:uid="{A49925C1-D2F2-4FDD-A649-00E5AB5C8CDB}"/>
    <cellStyle name="Normal 8 2 3 2 2 3 2 3" xfId="12058" xr:uid="{631B5B38-86C0-4B95-9425-20E5C0E83B3C}"/>
    <cellStyle name="Normal 8 2 3 2 2 3 3" xfId="5681" xr:uid="{00000000-0005-0000-0000-00009D1C0000}"/>
    <cellStyle name="Normal 8 2 3 2 2 3 3 2" xfId="14131" xr:uid="{0B823515-4729-4BD2-858B-A004FBB51437}"/>
    <cellStyle name="Normal 8 2 3 2 2 3 4" xfId="9913" xr:uid="{A80E0537-91A2-4BF9-9540-50B04F869D31}"/>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2 2 2" xfId="16689" xr:uid="{01E9E572-873A-4C85-8B9B-7C87ABADA20D}"/>
    <cellStyle name="Normal 8 2 3 2 2 4 2 3" xfId="12471" xr:uid="{F4A26260-A7B6-48BA-9BA5-A412CFA4772F}"/>
    <cellStyle name="Normal 8 2 3 2 2 4 3" xfId="6094" xr:uid="{00000000-0005-0000-0000-0000A11C0000}"/>
    <cellStyle name="Normal 8 2 3 2 2 4 3 2" xfId="14544" xr:uid="{CAE49278-8A69-4065-A3E4-04F27EF02FEA}"/>
    <cellStyle name="Normal 8 2 3 2 2 4 4" xfId="10326" xr:uid="{39BBC157-39BA-435A-BAC8-04D3E69031AE}"/>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2 2 2" xfId="17102" xr:uid="{B6674FBA-4242-43DE-92D0-0D6EACDEF775}"/>
    <cellStyle name="Normal 8 2 3 2 2 5 2 3" xfId="12884" xr:uid="{8E77F1DE-8046-401A-B781-5A28ACDCD0E5}"/>
    <cellStyle name="Normal 8 2 3 2 2 5 3" xfId="6507" xr:uid="{00000000-0005-0000-0000-0000A51C0000}"/>
    <cellStyle name="Normal 8 2 3 2 2 5 3 2" xfId="14957" xr:uid="{F1276CB4-0B7A-4674-BB6B-A7F2B7A4C15C}"/>
    <cellStyle name="Normal 8 2 3 2 2 5 4" xfId="10739" xr:uid="{D60B113D-C3D3-4F9F-A2D7-1A30CECD6E36}"/>
    <cellStyle name="Normal 8 2 3 2 2 6" xfId="2637" xr:uid="{00000000-0005-0000-0000-0000A61C0000}"/>
    <cellStyle name="Normal 8 2 3 2 2 6 2" xfId="6920" xr:uid="{00000000-0005-0000-0000-0000A71C0000}"/>
    <cellStyle name="Normal 8 2 3 2 2 6 2 2" xfId="15370" xr:uid="{063E0F0D-9827-4CFF-8B34-6DAFDF9B97F8}"/>
    <cellStyle name="Normal 8 2 3 2 2 6 3" xfId="11152" xr:uid="{6E1811FF-88C5-42B4-BB4F-1CB109FC28FE}"/>
    <cellStyle name="Normal 8 2 3 2 2 7" xfId="4855" xr:uid="{00000000-0005-0000-0000-0000A81C0000}"/>
    <cellStyle name="Normal 8 2 3 2 2 7 2" xfId="13305" xr:uid="{ABF1BE31-F9CD-4DFA-BF46-4A44113D634F}"/>
    <cellStyle name="Normal 8 2 3 2 2 8" xfId="9087" xr:uid="{0C67357F-0227-43BD-8EF7-5AB36229E746}"/>
    <cellStyle name="Normal 8 2 3 2 3" xfId="956" xr:uid="{00000000-0005-0000-0000-0000A91C0000}"/>
    <cellStyle name="Normal 8 2 3 2 3 2" xfId="3190" xr:uid="{00000000-0005-0000-0000-0000AA1C0000}"/>
    <cellStyle name="Normal 8 2 3 2 3 2 2" xfId="7412" xr:uid="{00000000-0005-0000-0000-0000AB1C0000}"/>
    <cellStyle name="Normal 8 2 3 2 3 2 2 2" xfId="15862" xr:uid="{F3ED0D1E-8949-44CA-AE10-56BF78471584}"/>
    <cellStyle name="Normal 8 2 3 2 3 2 3" xfId="11644" xr:uid="{80D4EDEE-A6F4-4FC9-9358-ACAA3A574A10}"/>
    <cellStyle name="Normal 8 2 3 2 3 3" xfId="5267" xr:uid="{00000000-0005-0000-0000-0000AC1C0000}"/>
    <cellStyle name="Normal 8 2 3 2 3 3 2" xfId="13717" xr:uid="{22DB93B1-54F0-485C-B659-B9782F328E1D}"/>
    <cellStyle name="Normal 8 2 3 2 3 4" xfId="9499" xr:uid="{A38765FE-2C4D-49AE-A67F-60E47BD88295}"/>
    <cellStyle name="Normal 8 2 3 2 4" xfId="1373" xr:uid="{00000000-0005-0000-0000-0000AD1C0000}"/>
    <cellStyle name="Normal 8 2 3 2 4 2" xfId="3603" xr:uid="{00000000-0005-0000-0000-0000AE1C0000}"/>
    <cellStyle name="Normal 8 2 3 2 4 2 2" xfId="7825" xr:uid="{00000000-0005-0000-0000-0000AF1C0000}"/>
    <cellStyle name="Normal 8 2 3 2 4 2 2 2" xfId="16275" xr:uid="{23A5D87C-0039-4A0F-B234-E8916F673C54}"/>
    <cellStyle name="Normal 8 2 3 2 4 2 3" xfId="12057" xr:uid="{75F02820-5194-46E5-A27A-5C69F6CB2AAC}"/>
    <cellStyle name="Normal 8 2 3 2 4 3" xfId="5680" xr:uid="{00000000-0005-0000-0000-0000B01C0000}"/>
    <cellStyle name="Normal 8 2 3 2 4 3 2" xfId="14130" xr:uid="{EC92BB2E-262B-47BC-9C6B-C370EA50BF57}"/>
    <cellStyle name="Normal 8 2 3 2 4 4" xfId="9912" xr:uid="{D2A26856-BC74-48D9-AFA6-C5ECB65E5385}"/>
    <cellStyle name="Normal 8 2 3 2 5" xfId="1786" xr:uid="{00000000-0005-0000-0000-0000B11C0000}"/>
    <cellStyle name="Normal 8 2 3 2 5 2" xfId="4016" xr:uid="{00000000-0005-0000-0000-0000B21C0000}"/>
    <cellStyle name="Normal 8 2 3 2 5 2 2" xfId="8238" xr:uid="{00000000-0005-0000-0000-0000B31C0000}"/>
    <cellStyle name="Normal 8 2 3 2 5 2 2 2" xfId="16688" xr:uid="{C4F0FB49-7EA8-46C9-9745-C32C93417B89}"/>
    <cellStyle name="Normal 8 2 3 2 5 2 3" xfId="12470" xr:uid="{E49B1529-6F85-478C-A0C6-1B4AE6A9E0B1}"/>
    <cellStyle name="Normal 8 2 3 2 5 3" xfId="6093" xr:uid="{00000000-0005-0000-0000-0000B41C0000}"/>
    <cellStyle name="Normal 8 2 3 2 5 3 2" xfId="14543" xr:uid="{10BB8CCF-2060-4F46-8B2C-12E7C60D75F1}"/>
    <cellStyle name="Normal 8 2 3 2 5 4" xfId="10325" xr:uid="{749A3632-CC94-4DA7-8A99-41AD49BA84D3}"/>
    <cellStyle name="Normal 8 2 3 2 6" xfId="2200" xr:uid="{00000000-0005-0000-0000-0000B51C0000}"/>
    <cellStyle name="Normal 8 2 3 2 6 2" xfId="4429" xr:uid="{00000000-0005-0000-0000-0000B61C0000}"/>
    <cellStyle name="Normal 8 2 3 2 6 2 2" xfId="8651" xr:uid="{00000000-0005-0000-0000-0000B71C0000}"/>
    <cellStyle name="Normal 8 2 3 2 6 2 2 2" xfId="17101" xr:uid="{AF049D97-2ED5-4CF2-A6D4-A8B735F01A95}"/>
    <cellStyle name="Normal 8 2 3 2 6 2 3" xfId="12883" xr:uid="{B428404E-376D-468A-9271-81C01AC7BC3C}"/>
    <cellStyle name="Normal 8 2 3 2 6 3" xfId="6506" xr:uid="{00000000-0005-0000-0000-0000B81C0000}"/>
    <cellStyle name="Normal 8 2 3 2 6 3 2" xfId="14956" xr:uid="{8C558CBD-3A55-4F91-A7D0-41DD43534A75}"/>
    <cellStyle name="Normal 8 2 3 2 6 4" xfId="10738" xr:uid="{87585234-F342-4FD7-ABE5-1DAD06038DF9}"/>
    <cellStyle name="Normal 8 2 3 2 7" xfId="2636" xr:uid="{00000000-0005-0000-0000-0000B91C0000}"/>
    <cellStyle name="Normal 8 2 3 2 7 2" xfId="6919" xr:uid="{00000000-0005-0000-0000-0000BA1C0000}"/>
    <cellStyle name="Normal 8 2 3 2 7 2 2" xfId="15369" xr:uid="{D338642A-37D9-4DC4-ABA0-0FE19CD99AFB}"/>
    <cellStyle name="Normal 8 2 3 2 7 3" xfId="11151" xr:uid="{9A8A61AA-B08A-44C6-BBAA-3117442AB036}"/>
    <cellStyle name="Normal 8 2 3 2 8" xfId="4854" xr:uid="{00000000-0005-0000-0000-0000BB1C0000}"/>
    <cellStyle name="Normal 8 2 3 2 8 2" xfId="13304" xr:uid="{967842EB-4B56-470C-8817-858EA444D1BF}"/>
    <cellStyle name="Normal 8 2 3 2 9" xfId="9086" xr:uid="{04281892-5A3C-4008-9978-F62603F6BF49}"/>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2 2 2" xfId="15864" xr:uid="{B5DAE6FB-8263-46C5-BCCC-0B6BF41994AE}"/>
    <cellStyle name="Normal 8 2 3 3 2 2 3" xfId="11646" xr:uid="{63C18D58-DF1D-492D-9884-7152B9E020B6}"/>
    <cellStyle name="Normal 8 2 3 3 2 3" xfId="5269" xr:uid="{00000000-0005-0000-0000-0000C01C0000}"/>
    <cellStyle name="Normal 8 2 3 3 2 3 2" xfId="13719" xr:uid="{05BA68A1-06F9-48C7-8E63-6E2E9D769781}"/>
    <cellStyle name="Normal 8 2 3 3 2 4" xfId="9501" xr:uid="{EF5564D2-F82B-4F56-AA0F-2E40BC2E009B}"/>
    <cellStyle name="Normal 8 2 3 3 3" xfId="1375" xr:uid="{00000000-0005-0000-0000-0000C11C0000}"/>
    <cellStyle name="Normal 8 2 3 3 3 2" xfId="3605" xr:uid="{00000000-0005-0000-0000-0000C21C0000}"/>
    <cellStyle name="Normal 8 2 3 3 3 2 2" xfId="7827" xr:uid="{00000000-0005-0000-0000-0000C31C0000}"/>
    <cellStyle name="Normal 8 2 3 3 3 2 2 2" xfId="16277" xr:uid="{65ED6303-9681-4975-8C3C-A4518A664CEE}"/>
    <cellStyle name="Normal 8 2 3 3 3 2 3" xfId="12059" xr:uid="{C1F6F073-69D5-452D-9747-85A96291E830}"/>
    <cellStyle name="Normal 8 2 3 3 3 3" xfId="5682" xr:uid="{00000000-0005-0000-0000-0000C41C0000}"/>
    <cellStyle name="Normal 8 2 3 3 3 3 2" xfId="14132" xr:uid="{4370D30D-BC68-4DAA-AF9C-1A1E8CA3D29C}"/>
    <cellStyle name="Normal 8 2 3 3 3 4" xfId="9914" xr:uid="{6B4A4701-9BD4-4D87-8788-C60C86C1A082}"/>
    <cellStyle name="Normal 8 2 3 3 4" xfId="1788" xr:uid="{00000000-0005-0000-0000-0000C51C0000}"/>
    <cellStyle name="Normal 8 2 3 3 4 2" xfId="4018" xr:uid="{00000000-0005-0000-0000-0000C61C0000}"/>
    <cellStyle name="Normal 8 2 3 3 4 2 2" xfId="8240" xr:uid="{00000000-0005-0000-0000-0000C71C0000}"/>
    <cellStyle name="Normal 8 2 3 3 4 2 2 2" xfId="16690" xr:uid="{4BFBE231-5FCD-4B48-BBD5-82F6C2BDBDED}"/>
    <cellStyle name="Normal 8 2 3 3 4 2 3" xfId="12472" xr:uid="{3492D379-450B-4909-A31B-4CE411544433}"/>
    <cellStyle name="Normal 8 2 3 3 4 3" xfId="6095" xr:uid="{00000000-0005-0000-0000-0000C81C0000}"/>
    <cellStyle name="Normal 8 2 3 3 4 3 2" xfId="14545" xr:uid="{479418DE-FEA8-4ADA-B7F9-9ED46FA1924C}"/>
    <cellStyle name="Normal 8 2 3 3 4 4" xfId="10327" xr:uid="{CCE05790-808D-4A96-8FCC-507BB4DC97DA}"/>
    <cellStyle name="Normal 8 2 3 3 5" xfId="2202" xr:uid="{00000000-0005-0000-0000-0000C91C0000}"/>
    <cellStyle name="Normal 8 2 3 3 5 2" xfId="4431" xr:uid="{00000000-0005-0000-0000-0000CA1C0000}"/>
    <cellStyle name="Normal 8 2 3 3 5 2 2" xfId="8653" xr:uid="{00000000-0005-0000-0000-0000CB1C0000}"/>
    <cellStyle name="Normal 8 2 3 3 5 2 2 2" xfId="17103" xr:uid="{5738EE89-2FE9-44C7-966F-CFF7C29911E9}"/>
    <cellStyle name="Normal 8 2 3 3 5 2 3" xfId="12885" xr:uid="{D46AE125-1544-4362-9900-831C8237F737}"/>
    <cellStyle name="Normal 8 2 3 3 5 3" xfId="6508" xr:uid="{00000000-0005-0000-0000-0000CC1C0000}"/>
    <cellStyle name="Normal 8 2 3 3 5 3 2" xfId="14958" xr:uid="{0FC03531-B127-4B87-BBA2-48DB506B641E}"/>
    <cellStyle name="Normal 8 2 3 3 5 4" xfId="10740" xr:uid="{B66D943E-CF88-439D-99E1-8EDBFD354324}"/>
    <cellStyle name="Normal 8 2 3 3 6" xfId="2638" xr:uid="{00000000-0005-0000-0000-0000CD1C0000}"/>
    <cellStyle name="Normal 8 2 3 3 6 2" xfId="6921" xr:uid="{00000000-0005-0000-0000-0000CE1C0000}"/>
    <cellStyle name="Normal 8 2 3 3 6 2 2" xfId="15371" xr:uid="{0491B6E2-EEAE-4A0A-A930-7718FCF4A88C}"/>
    <cellStyle name="Normal 8 2 3 3 6 3" xfId="11153" xr:uid="{938D61EF-DBDF-46A0-B8FE-F98ED64E0EF2}"/>
    <cellStyle name="Normal 8 2 3 3 7" xfId="4856" xr:uid="{00000000-0005-0000-0000-0000CF1C0000}"/>
    <cellStyle name="Normal 8 2 3 3 7 2" xfId="13306" xr:uid="{40348871-35CE-4E7B-A99F-17C35B24DFC9}"/>
    <cellStyle name="Normal 8 2 3 3 8" xfId="9088" xr:uid="{1BDD9B72-FA7A-4E89-BE86-6B4FADA491F0}"/>
    <cellStyle name="Normal 8 2 3 4" xfId="955" xr:uid="{00000000-0005-0000-0000-0000D01C0000}"/>
    <cellStyle name="Normal 8 2 3 4 2" xfId="3189" xr:uid="{00000000-0005-0000-0000-0000D11C0000}"/>
    <cellStyle name="Normal 8 2 3 4 2 2" xfId="7411" xr:uid="{00000000-0005-0000-0000-0000D21C0000}"/>
    <cellStyle name="Normal 8 2 3 4 2 2 2" xfId="15861" xr:uid="{D4A9FC95-FEBE-4A31-B3FA-33A85821CA16}"/>
    <cellStyle name="Normal 8 2 3 4 2 3" xfId="11643" xr:uid="{7460ED74-B549-4677-AAAD-A418C35DC801}"/>
    <cellStyle name="Normal 8 2 3 4 3" xfId="5266" xr:uid="{00000000-0005-0000-0000-0000D31C0000}"/>
    <cellStyle name="Normal 8 2 3 4 3 2" xfId="13716" xr:uid="{8B72DCB0-6FCC-4423-8921-0876B9E7511F}"/>
    <cellStyle name="Normal 8 2 3 4 4" xfId="9498" xr:uid="{25E8B7E3-898D-4EA4-A598-E594AB986CB0}"/>
    <cellStyle name="Normal 8 2 3 5" xfId="1372" xr:uid="{00000000-0005-0000-0000-0000D41C0000}"/>
    <cellStyle name="Normal 8 2 3 5 2" xfId="3602" xr:uid="{00000000-0005-0000-0000-0000D51C0000}"/>
    <cellStyle name="Normal 8 2 3 5 2 2" xfId="7824" xr:uid="{00000000-0005-0000-0000-0000D61C0000}"/>
    <cellStyle name="Normal 8 2 3 5 2 2 2" xfId="16274" xr:uid="{8B2F1DB5-C812-48E6-B96A-34C908B2EB81}"/>
    <cellStyle name="Normal 8 2 3 5 2 3" xfId="12056" xr:uid="{0E1EBF90-FBB3-469B-BA76-2C596053A031}"/>
    <cellStyle name="Normal 8 2 3 5 3" xfId="5679" xr:uid="{00000000-0005-0000-0000-0000D71C0000}"/>
    <cellStyle name="Normal 8 2 3 5 3 2" xfId="14129" xr:uid="{19DBE565-3245-42A7-B160-CA9A1BBDF991}"/>
    <cellStyle name="Normal 8 2 3 5 4" xfId="9911" xr:uid="{43F45E7E-3AE1-4154-8FAF-CEE929405DAF}"/>
    <cellStyle name="Normal 8 2 3 6" xfId="1785" xr:uid="{00000000-0005-0000-0000-0000D81C0000}"/>
    <cellStyle name="Normal 8 2 3 6 2" xfId="4015" xr:uid="{00000000-0005-0000-0000-0000D91C0000}"/>
    <cellStyle name="Normal 8 2 3 6 2 2" xfId="8237" xr:uid="{00000000-0005-0000-0000-0000DA1C0000}"/>
    <cellStyle name="Normal 8 2 3 6 2 2 2" xfId="16687" xr:uid="{62C2DA1C-C9AB-4C86-A17D-EA00FAEF9CB1}"/>
    <cellStyle name="Normal 8 2 3 6 2 3" xfId="12469" xr:uid="{7122E07A-FEA9-45E2-AFCB-EF921E3535D4}"/>
    <cellStyle name="Normal 8 2 3 6 3" xfId="6092" xr:uid="{00000000-0005-0000-0000-0000DB1C0000}"/>
    <cellStyle name="Normal 8 2 3 6 3 2" xfId="14542" xr:uid="{748BE608-45C0-4DC3-B484-AF461527F9FF}"/>
    <cellStyle name="Normal 8 2 3 6 4" xfId="10324" xr:uid="{7C744D70-D213-49FE-B352-56E51B0A586E}"/>
    <cellStyle name="Normal 8 2 3 7" xfId="2199" xr:uid="{00000000-0005-0000-0000-0000DC1C0000}"/>
    <cellStyle name="Normal 8 2 3 7 2" xfId="4428" xr:uid="{00000000-0005-0000-0000-0000DD1C0000}"/>
    <cellStyle name="Normal 8 2 3 7 2 2" xfId="8650" xr:uid="{00000000-0005-0000-0000-0000DE1C0000}"/>
    <cellStyle name="Normal 8 2 3 7 2 2 2" xfId="17100" xr:uid="{FC673D0C-E314-4B84-97EF-D6E509C57FB0}"/>
    <cellStyle name="Normal 8 2 3 7 2 3" xfId="12882" xr:uid="{42773CB5-E7B6-4F04-A52D-E9CD532FFFAC}"/>
    <cellStyle name="Normal 8 2 3 7 3" xfId="6505" xr:uid="{00000000-0005-0000-0000-0000DF1C0000}"/>
    <cellStyle name="Normal 8 2 3 7 3 2" xfId="14955" xr:uid="{FF696F5B-DD53-47A4-8C07-78B1502E877A}"/>
    <cellStyle name="Normal 8 2 3 7 4" xfId="10737" xr:uid="{3F5963D3-9297-4EC9-A33E-67FCBFA575CD}"/>
    <cellStyle name="Normal 8 2 3 8" xfId="2635" xr:uid="{00000000-0005-0000-0000-0000E01C0000}"/>
    <cellStyle name="Normal 8 2 3 8 2" xfId="6918" xr:uid="{00000000-0005-0000-0000-0000E11C0000}"/>
    <cellStyle name="Normal 8 2 3 8 2 2" xfId="15368" xr:uid="{CD414477-F6A4-4728-8A10-3322F3A5C5B1}"/>
    <cellStyle name="Normal 8 2 3 8 3" xfId="11150" xr:uid="{4277F8E9-A9C7-4DC2-A152-FCF89C7AA6F2}"/>
    <cellStyle name="Normal 8 2 3 9" xfId="4853" xr:uid="{00000000-0005-0000-0000-0000E21C0000}"/>
    <cellStyle name="Normal 8 2 3 9 2" xfId="13303" xr:uid="{101CB25F-F9C7-4BB3-AC43-DB8B4D6CCB02}"/>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2 2 2" xfId="15866" xr:uid="{1DC4EC63-3B11-4045-A82C-B1AB9EAA0386}"/>
    <cellStyle name="Normal 8 2 4 2 2 2 3" xfId="11648" xr:uid="{CA2ABD73-0FF2-4B74-90D5-A42F71ED4E0B}"/>
    <cellStyle name="Normal 8 2 4 2 2 3" xfId="5271" xr:uid="{00000000-0005-0000-0000-0000E81C0000}"/>
    <cellStyle name="Normal 8 2 4 2 2 3 2" xfId="13721" xr:uid="{17561E43-FB22-4B0F-96BA-D34E9C1863DA}"/>
    <cellStyle name="Normal 8 2 4 2 2 4" xfId="9503" xr:uid="{5F15C866-014F-49F2-A3BC-9C5BB7EF3B93}"/>
    <cellStyle name="Normal 8 2 4 2 3" xfId="1377" xr:uid="{00000000-0005-0000-0000-0000E91C0000}"/>
    <cellStyle name="Normal 8 2 4 2 3 2" xfId="3607" xr:uid="{00000000-0005-0000-0000-0000EA1C0000}"/>
    <cellStyle name="Normal 8 2 4 2 3 2 2" xfId="7829" xr:uid="{00000000-0005-0000-0000-0000EB1C0000}"/>
    <cellStyle name="Normal 8 2 4 2 3 2 2 2" xfId="16279" xr:uid="{99172DCB-03E6-4BD9-92F8-96DE5FBEBFAC}"/>
    <cellStyle name="Normal 8 2 4 2 3 2 3" xfId="12061" xr:uid="{483EDD6D-7E47-4B2A-9EFF-DC89A01A4A16}"/>
    <cellStyle name="Normal 8 2 4 2 3 3" xfId="5684" xr:uid="{00000000-0005-0000-0000-0000EC1C0000}"/>
    <cellStyle name="Normal 8 2 4 2 3 3 2" xfId="14134" xr:uid="{A4B4FB23-35CD-48F4-9DE0-36B3A8BFFE8A}"/>
    <cellStyle name="Normal 8 2 4 2 3 4" xfId="9916" xr:uid="{B88E6FA1-9DED-497B-A5CE-FDFD2C2B91BA}"/>
    <cellStyle name="Normal 8 2 4 2 4" xfId="1790" xr:uid="{00000000-0005-0000-0000-0000ED1C0000}"/>
    <cellStyle name="Normal 8 2 4 2 4 2" xfId="4020" xr:uid="{00000000-0005-0000-0000-0000EE1C0000}"/>
    <cellStyle name="Normal 8 2 4 2 4 2 2" xfId="8242" xr:uid="{00000000-0005-0000-0000-0000EF1C0000}"/>
    <cellStyle name="Normal 8 2 4 2 4 2 2 2" xfId="16692" xr:uid="{B45C10BA-EDDF-4161-A526-01DE96D72579}"/>
    <cellStyle name="Normal 8 2 4 2 4 2 3" xfId="12474" xr:uid="{68C896E6-64CD-42A1-84AA-45EB91A6E069}"/>
    <cellStyle name="Normal 8 2 4 2 4 3" xfId="6097" xr:uid="{00000000-0005-0000-0000-0000F01C0000}"/>
    <cellStyle name="Normal 8 2 4 2 4 3 2" xfId="14547" xr:uid="{6CD2F690-7A40-4BE6-B80D-CBF035200601}"/>
    <cellStyle name="Normal 8 2 4 2 4 4" xfId="10329" xr:uid="{52F01E3E-36A1-49F0-BD93-7584FCE4FF8C}"/>
    <cellStyle name="Normal 8 2 4 2 5" xfId="2204" xr:uid="{00000000-0005-0000-0000-0000F11C0000}"/>
    <cellStyle name="Normal 8 2 4 2 5 2" xfId="4433" xr:uid="{00000000-0005-0000-0000-0000F21C0000}"/>
    <cellStyle name="Normal 8 2 4 2 5 2 2" xfId="8655" xr:uid="{00000000-0005-0000-0000-0000F31C0000}"/>
    <cellStyle name="Normal 8 2 4 2 5 2 2 2" xfId="17105" xr:uid="{C30B7274-0039-48EC-93D1-0D88426BE515}"/>
    <cellStyle name="Normal 8 2 4 2 5 2 3" xfId="12887" xr:uid="{28B81EC1-B881-429F-A0D2-7CDF29D25F65}"/>
    <cellStyle name="Normal 8 2 4 2 5 3" xfId="6510" xr:uid="{00000000-0005-0000-0000-0000F41C0000}"/>
    <cellStyle name="Normal 8 2 4 2 5 3 2" xfId="14960" xr:uid="{BADB1777-9AFE-4F08-8B89-FAC0CF0FC522}"/>
    <cellStyle name="Normal 8 2 4 2 5 4" xfId="10742" xr:uid="{3F143954-AF38-424A-A039-F3D960426B49}"/>
    <cellStyle name="Normal 8 2 4 2 6" xfId="2640" xr:uid="{00000000-0005-0000-0000-0000F51C0000}"/>
    <cellStyle name="Normal 8 2 4 2 6 2" xfId="6923" xr:uid="{00000000-0005-0000-0000-0000F61C0000}"/>
    <cellStyle name="Normal 8 2 4 2 6 2 2" xfId="15373" xr:uid="{AAEA6B0D-FACD-4E1A-A1AE-AE42295C2328}"/>
    <cellStyle name="Normal 8 2 4 2 6 3" xfId="11155" xr:uid="{94B3C10E-16C0-45DE-887D-2648E73232D5}"/>
    <cellStyle name="Normal 8 2 4 2 7" xfId="4858" xr:uid="{00000000-0005-0000-0000-0000F71C0000}"/>
    <cellStyle name="Normal 8 2 4 2 7 2" xfId="13308" xr:uid="{F99D1C38-72E3-4DA7-A97F-AC34F1DE4DF7}"/>
    <cellStyle name="Normal 8 2 4 2 8" xfId="9090" xr:uid="{864A8B69-D050-4D41-A2F8-6B1D764A4266}"/>
    <cellStyle name="Normal 8 2 4 3" xfId="959" xr:uid="{00000000-0005-0000-0000-0000F81C0000}"/>
    <cellStyle name="Normal 8 2 4 3 2" xfId="3193" xr:uid="{00000000-0005-0000-0000-0000F91C0000}"/>
    <cellStyle name="Normal 8 2 4 3 2 2" xfId="7415" xr:uid="{00000000-0005-0000-0000-0000FA1C0000}"/>
    <cellStyle name="Normal 8 2 4 3 2 2 2" xfId="15865" xr:uid="{8D8633F4-B4BA-412C-88FB-1BC82934986C}"/>
    <cellStyle name="Normal 8 2 4 3 2 3" xfId="11647" xr:uid="{40AE4DBF-DAC4-403A-81AC-3CD4D170A8FA}"/>
    <cellStyle name="Normal 8 2 4 3 3" xfId="5270" xr:uid="{00000000-0005-0000-0000-0000FB1C0000}"/>
    <cellStyle name="Normal 8 2 4 3 3 2" xfId="13720" xr:uid="{8158F219-CA9A-4C98-A517-BA1D23A85927}"/>
    <cellStyle name="Normal 8 2 4 3 4" xfId="9502" xr:uid="{71CD13D2-CC38-4489-83C5-C636EF7353A8}"/>
    <cellStyle name="Normal 8 2 4 4" xfId="1376" xr:uid="{00000000-0005-0000-0000-0000FC1C0000}"/>
    <cellStyle name="Normal 8 2 4 4 2" xfId="3606" xr:uid="{00000000-0005-0000-0000-0000FD1C0000}"/>
    <cellStyle name="Normal 8 2 4 4 2 2" xfId="7828" xr:uid="{00000000-0005-0000-0000-0000FE1C0000}"/>
    <cellStyle name="Normal 8 2 4 4 2 2 2" xfId="16278" xr:uid="{7134C591-F0AA-4811-BAE4-3DE86C5B86F4}"/>
    <cellStyle name="Normal 8 2 4 4 2 3" xfId="12060" xr:uid="{B977F575-03A7-4DCC-ACEC-9B3AEEC10969}"/>
    <cellStyle name="Normal 8 2 4 4 3" xfId="5683" xr:uid="{00000000-0005-0000-0000-0000FF1C0000}"/>
    <cellStyle name="Normal 8 2 4 4 3 2" xfId="14133" xr:uid="{46C6B07D-9039-4F07-828A-1EEED142CC1C}"/>
    <cellStyle name="Normal 8 2 4 4 4" xfId="9915" xr:uid="{42DEEE07-08E9-45A1-838B-68D9C9EA4643}"/>
    <cellStyle name="Normal 8 2 4 5" xfId="1789" xr:uid="{00000000-0005-0000-0000-0000001D0000}"/>
    <cellStyle name="Normal 8 2 4 5 2" xfId="4019" xr:uid="{00000000-0005-0000-0000-0000011D0000}"/>
    <cellStyle name="Normal 8 2 4 5 2 2" xfId="8241" xr:uid="{00000000-0005-0000-0000-0000021D0000}"/>
    <cellStyle name="Normal 8 2 4 5 2 2 2" xfId="16691" xr:uid="{718AE473-0FAB-4451-8029-94B3596E5537}"/>
    <cellStyle name="Normal 8 2 4 5 2 3" xfId="12473" xr:uid="{3C40A3EA-C582-438C-AC48-5B9E862A0AD4}"/>
    <cellStyle name="Normal 8 2 4 5 3" xfId="6096" xr:uid="{00000000-0005-0000-0000-0000031D0000}"/>
    <cellStyle name="Normal 8 2 4 5 3 2" xfId="14546" xr:uid="{F2A0ABA6-CCB5-4071-BCA3-65616DD784C0}"/>
    <cellStyle name="Normal 8 2 4 5 4" xfId="10328" xr:uid="{728C25B3-52A6-4197-AE1C-CB4765DCC887}"/>
    <cellStyle name="Normal 8 2 4 6" xfId="2203" xr:uid="{00000000-0005-0000-0000-0000041D0000}"/>
    <cellStyle name="Normal 8 2 4 6 2" xfId="4432" xr:uid="{00000000-0005-0000-0000-0000051D0000}"/>
    <cellStyle name="Normal 8 2 4 6 2 2" xfId="8654" xr:uid="{00000000-0005-0000-0000-0000061D0000}"/>
    <cellStyle name="Normal 8 2 4 6 2 2 2" xfId="17104" xr:uid="{EB239638-24F1-4E54-BE12-23B249E647C6}"/>
    <cellStyle name="Normal 8 2 4 6 2 3" xfId="12886" xr:uid="{6B8AC717-5B2D-48D8-A20B-FD88A6722666}"/>
    <cellStyle name="Normal 8 2 4 6 3" xfId="6509" xr:uid="{00000000-0005-0000-0000-0000071D0000}"/>
    <cellStyle name="Normal 8 2 4 6 3 2" xfId="14959" xr:uid="{CE61CE91-F4B8-48C6-A9F4-8450F34B1B4F}"/>
    <cellStyle name="Normal 8 2 4 6 4" xfId="10741" xr:uid="{581C749F-094E-4F1E-A568-19112ACB590C}"/>
    <cellStyle name="Normal 8 2 4 7" xfId="2639" xr:uid="{00000000-0005-0000-0000-0000081D0000}"/>
    <cellStyle name="Normal 8 2 4 7 2" xfId="6922" xr:uid="{00000000-0005-0000-0000-0000091D0000}"/>
    <cellStyle name="Normal 8 2 4 7 2 2" xfId="15372" xr:uid="{95F83205-3FBC-4790-B7F9-710BA8CDC95B}"/>
    <cellStyle name="Normal 8 2 4 7 3" xfId="11154" xr:uid="{89C1E62D-9C1C-4833-9377-F9BD392F64AF}"/>
    <cellStyle name="Normal 8 2 4 8" xfId="4857" xr:uid="{00000000-0005-0000-0000-00000A1D0000}"/>
    <cellStyle name="Normal 8 2 4 8 2" xfId="13307" xr:uid="{FDC773E4-4749-49CC-939B-7992D3A66617}"/>
    <cellStyle name="Normal 8 2 4 9" xfId="9089" xr:uid="{4A8753E9-14C9-4B57-A311-6EE092BDB1C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2 2 2" xfId="15867" xr:uid="{4CD887CE-0EAF-4507-961C-516A7E8F4087}"/>
    <cellStyle name="Normal 8 2 5 2 2 3" xfId="11649" xr:uid="{A0D7B014-12F7-4198-ABCF-B6B9B839B534}"/>
    <cellStyle name="Normal 8 2 5 2 3" xfId="5272" xr:uid="{00000000-0005-0000-0000-00000F1D0000}"/>
    <cellStyle name="Normal 8 2 5 2 3 2" xfId="13722" xr:uid="{EA31E3C0-57FA-4365-B52B-6F09F39FD63F}"/>
    <cellStyle name="Normal 8 2 5 2 4" xfId="9504" xr:uid="{58CDB4B2-6E5D-496C-B7DE-7166533CCAE4}"/>
    <cellStyle name="Normal 8 2 5 3" xfId="1378" xr:uid="{00000000-0005-0000-0000-0000101D0000}"/>
    <cellStyle name="Normal 8 2 5 3 2" xfId="3608" xr:uid="{00000000-0005-0000-0000-0000111D0000}"/>
    <cellStyle name="Normal 8 2 5 3 2 2" xfId="7830" xr:uid="{00000000-0005-0000-0000-0000121D0000}"/>
    <cellStyle name="Normal 8 2 5 3 2 2 2" xfId="16280" xr:uid="{8E458DE9-6345-4B3B-A740-113A61C498CB}"/>
    <cellStyle name="Normal 8 2 5 3 2 3" xfId="12062" xr:uid="{C985CE01-61CC-47B3-A616-E780A31E4179}"/>
    <cellStyle name="Normal 8 2 5 3 3" xfId="5685" xr:uid="{00000000-0005-0000-0000-0000131D0000}"/>
    <cellStyle name="Normal 8 2 5 3 3 2" xfId="14135" xr:uid="{BC88B875-20CB-4FB0-B374-2D54A1AA422C}"/>
    <cellStyle name="Normal 8 2 5 3 4" xfId="9917" xr:uid="{75F26085-3627-4311-BB53-97A2C2EEDC13}"/>
    <cellStyle name="Normal 8 2 5 4" xfId="1791" xr:uid="{00000000-0005-0000-0000-0000141D0000}"/>
    <cellStyle name="Normal 8 2 5 4 2" xfId="4021" xr:uid="{00000000-0005-0000-0000-0000151D0000}"/>
    <cellStyle name="Normal 8 2 5 4 2 2" xfId="8243" xr:uid="{00000000-0005-0000-0000-0000161D0000}"/>
    <cellStyle name="Normal 8 2 5 4 2 2 2" xfId="16693" xr:uid="{36C18DA2-9989-4A5E-AA7F-19F00695311A}"/>
    <cellStyle name="Normal 8 2 5 4 2 3" xfId="12475" xr:uid="{BB947E82-B143-41FC-BBC7-FD0203E08BF3}"/>
    <cellStyle name="Normal 8 2 5 4 3" xfId="6098" xr:uid="{00000000-0005-0000-0000-0000171D0000}"/>
    <cellStyle name="Normal 8 2 5 4 3 2" xfId="14548" xr:uid="{CB93DB70-E9A8-4EF6-B85B-757B6EB9F71B}"/>
    <cellStyle name="Normal 8 2 5 4 4" xfId="10330" xr:uid="{B6C6E468-D31E-41FB-8F4C-5D23D9087034}"/>
    <cellStyle name="Normal 8 2 5 5" xfId="2205" xr:uid="{00000000-0005-0000-0000-0000181D0000}"/>
    <cellStyle name="Normal 8 2 5 5 2" xfId="4434" xr:uid="{00000000-0005-0000-0000-0000191D0000}"/>
    <cellStyle name="Normal 8 2 5 5 2 2" xfId="8656" xr:uid="{00000000-0005-0000-0000-00001A1D0000}"/>
    <cellStyle name="Normal 8 2 5 5 2 2 2" xfId="17106" xr:uid="{8A20CCAD-D080-4737-B9F6-189ACDC937F0}"/>
    <cellStyle name="Normal 8 2 5 5 2 3" xfId="12888" xr:uid="{AAA9247D-90A5-432C-87C2-DB862FB618A1}"/>
    <cellStyle name="Normal 8 2 5 5 3" xfId="6511" xr:uid="{00000000-0005-0000-0000-00001B1D0000}"/>
    <cellStyle name="Normal 8 2 5 5 3 2" xfId="14961" xr:uid="{74D94CD2-08C0-4B78-95A8-7517AD341E1C}"/>
    <cellStyle name="Normal 8 2 5 5 4" xfId="10743" xr:uid="{61FF96CC-6A93-463E-AD7C-D627F978A385}"/>
    <cellStyle name="Normal 8 2 5 6" xfId="2641" xr:uid="{00000000-0005-0000-0000-00001C1D0000}"/>
    <cellStyle name="Normal 8 2 5 6 2" xfId="6924" xr:uid="{00000000-0005-0000-0000-00001D1D0000}"/>
    <cellStyle name="Normal 8 2 5 6 2 2" xfId="15374" xr:uid="{9EC65E4D-A47A-429A-920B-26FBB598D8CF}"/>
    <cellStyle name="Normal 8 2 5 6 3" xfId="11156" xr:uid="{A5AD7679-5EFD-4034-BC39-7EC4C89AD31A}"/>
    <cellStyle name="Normal 8 2 5 7" xfId="4859" xr:uid="{00000000-0005-0000-0000-00001E1D0000}"/>
    <cellStyle name="Normal 8 2 5 7 2" xfId="13309" xr:uid="{9DC464B6-33E9-488F-96C2-A8FFF5768FEA}"/>
    <cellStyle name="Normal 8 2 5 8" xfId="9091" xr:uid="{F23971AF-8046-4B27-8AED-F67A0BB29FEE}"/>
    <cellStyle name="Normal 8 2 6" xfId="946" xr:uid="{00000000-0005-0000-0000-00001F1D0000}"/>
    <cellStyle name="Normal 8 2 6 2" xfId="3180" xr:uid="{00000000-0005-0000-0000-0000201D0000}"/>
    <cellStyle name="Normal 8 2 6 2 2" xfId="7402" xr:uid="{00000000-0005-0000-0000-0000211D0000}"/>
    <cellStyle name="Normal 8 2 6 2 2 2" xfId="15852" xr:uid="{679E6637-B3FD-43ED-A387-D2BB44614BF2}"/>
    <cellStyle name="Normal 8 2 6 2 3" xfId="11634" xr:uid="{5CE96899-FB48-47F2-AB43-E597FAEB347D}"/>
    <cellStyle name="Normal 8 2 6 3" xfId="5257" xr:uid="{00000000-0005-0000-0000-0000221D0000}"/>
    <cellStyle name="Normal 8 2 6 3 2" xfId="13707" xr:uid="{1614574D-C39F-4758-BAD1-B8FFE2E318AD}"/>
    <cellStyle name="Normal 8 2 6 4" xfId="9489" xr:uid="{8D0CA9F4-8905-402F-B5DB-A4DB23A4842E}"/>
    <cellStyle name="Normal 8 2 7" xfId="1363" xr:uid="{00000000-0005-0000-0000-0000231D0000}"/>
    <cellStyle name="Normal 8 2 7 2" xfId="3593" xr:uid="{00000000-0005-0000-0000-0000241D0000}"/>
    <cellStyle name="Normal 8 2 7 2 2" xfId="7815" xr:uid="{00000000-0005-0000-0000-0000251D0000}"/>
    <cellStyle name="Normal 8 2 7 2 2 2" xfId="16265" xr:uid="{3946C71B-8DB9-4ED1-B616-CB167341AA7B}"/>
    <cellStyle name="Normal 8 2 7 2 3" xfId="12047" xr:uid="{A46F94C1-7A02-4993-9D90-41DF5C97910B}"/>
    <cellStyle name="Normal 8 2 7 3" xfId="5670" xr:uid="{00000000-0005-0000-0000-0000261D0000}"/>
    <cellStyle name="Normal 8 2 7 3 2" xfId="14120" xr:uid="{A68DA460-9D60-488C-A2EC-584E7583208B}"/>
    <cellStyle name="Normal 8 2 7 4" xfId="9902" xr:uid="{25EE4565-30D5-4E61-8442-9E553F99FE1D}"/>
    <cellStyle name="Normal 8 2 8" xfId="1776" xr:uid="{00000000-0005-0000-0000-0000271D0000}"/>
    <cellStyle name="Normal 8 2 8 2" xfId="4006" xr:uid="{00000000-0005-0000-0000-0000281D0000}"/>
    <cellStyle name="Normal 8 2 8 2 2" xfId="8228" xr:uid="{00000000-0005-0000-0000-0000291D0000}"/>
    <cellStyle name="Normal 8 2 8 2 2 2" xfId="16678" xr:uid="{8B56C4C6-BB0E-4B99-AAF4-C1B5816CBC30}"/>
    <cellStyle name="Normal 8 2 8 2 3" xfId="12460" xr:uid="{DB4144B0-BEA5-41BD-927C-301729840F5D}"/>
    <cellStyle name="Normal 8 2 8 3" xfId="6083" xr:uid="{00000000-0005-0000-0000-00002A1D0000}"/>
    <cellStyle name="Normal 8 2 8 3 2" xfId="14533" xr:uid="{5C8F6A92-806B-4C45-BAFE-798218338EBD}"/>
    <cellStyle name="Normal 8 2 8 4" xfId="10315" xr:uid="{D060E5B6-E7ED-4B8B-9187-882F0038C9D6}"/>
    <cellStyle name="Normal 8 2 9" xfId="2190" xr:uid="{00000000-0005-0000-0000-00002B1D0000}"/>
    <cellStyle name="Normal 8 2 9 2" xfId="4419" xr:uid="{00000000-0005-0000-0000-00002C1D0000}"/>
    <cellStyle name="Normal 8 2 9 2 2" xfId="8641" xr:uid="{00000000-0005-0000-0000-00002D1D0000}"/>
    <cellStyle name="Normal 8 2 9 2 2 2" xfId="17091" xr:uid="{72AF292A-1E85-4BB6-830D-09B608EFB802}"/>
    <cellStyle name="Normal 8 2 9 2 3" xfId="12873" xr:uid="{E8A38A22-1A86-43C0-918D-C09EED3C84CA}"/>
    <cellStyle name="Normal 8 2 9 3" xfId="6496" xr:uid="{00000000-0005-0000-0000-00002E1D0000}"/>
    <cellStyle name="Normal 8 2 9 3 2" xfId="14946" xr:uid="{2A456BAE-5F5F-4C6B-9973-CD02C2C42AB4}"/>
    <cellStyle name="Normal 8 2 9 4" xfId="10728" xr:uid="{17ED489F-08C8-4947-B574-11EB345DD259}"/>
    <cellStyle name="Normal 8 3" xfId="495" xr:uid="{00000000-0005-0000-0000-00002F1D0000}"/>
    <cellStyle name="Normal 8 3 10" xfId="4860" xr:uid="{00000000-0005-0000-0000-0000301D0000}"/>
    <cellStyle name="Normal 8 3 10 2" xfId="13310" xr:uid="{AA9E0BE0-E108-4EF0-AB3E-767D97AC228C}"/>
    <cellStyle name="Normal 8 3 11" xfId="9092" xr:uid="{ED3B880F-DCCA-4E72-AC57-DE97CDF47462}"/>
    <cellStyle name="Normal 8 3 2" xfId="496" xr:uid="{00000000-0005-0000-0000-0000311D0000}"/>
    <cellStyle name="Normal 8 3 2 10" xfId="9093" xr:uid="{EDA25FB9-23A4-4901-A9D4-4AF39973EEC4}"/>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2 2 2" xfId="15871" xr:uid="{F577132F-EAD0-43AE-86E2-19F522750038}"/>
    <cellStyle name="Normal 8 3 2 2 2 2 2 3" xfId="11653" xr:uid="{BEB341F7-0855-4713-9CCC-6F579871D79E}"/>
    <cellStyle name="Normal 8 3 2 2 2 2 3" xfId="5276" xr:uid="{00000000-0005-0000-0000-0000371D0000}"/>
    <cellStyle name="Normal 8 3 2 2 2 2 3 2" xfId="13726" xr:uid="{86882C33-2A67-46DF-90FC-62679AD3BDDC}"/>
    <cellStyle name="Normal 8 3 2 2 2 2 4" xfId="9508" xr:uid="{D0314DA9-36FF-4CF6-B267-C5202EDD200E}"/>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2 2 2" xfId="16284" xr:uid="{C1A39703-6B98-4523-9520-58FE97B7990F}"/>
    <cellStyle name="Normal 8 3 2 2 2 3 2 3" xfId="12066" xr:uid="{2AEFF129-E382-4FFF-A72E-9D4A65E17B03}"/>
    <cellStyle name="Normal 8 3 2 2 2 3 3" xfId="5689" xr:uid="{00000000-0005-0000-0000-00003B1D0000}"/>
    <cellStyle name="Normal 8 3 2 2 2 3 3 2" xfId="14139" xr:uid="{5FF8349D-1D7F-49F8-8923-2CFCDB8CEA4C}"/>
    <cellStyle name="Normal 8 3 2 2 2 3 4" xfId="9921" xr:uid="{86C3CA01-F03D-4BB7-8562-DBC3CA7EB991}"/>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2 2 2" xfId="16697" xr:uid="{3CAB900C-9F13-411A-8A54-2934C2410C75}"/>
    <cellStyle name="Normal 8 3 2 2 2 4 2 3" xfId="12479" xr:uid="{C570B9F6-5191-4482-AA0E-F04C259EEE70}"/>
    <cellStyle name="Normal 8 3 2 2 2 4 3" xfId="6102" xr:uid="{00000000-0005-0000-0000-00003F1D0000}"/>
    <cellStyle name="Normal 8 3 2 2 2 4 3 2" xfId="14552" xr:uid="{C69C3551-EDDC-4A1D-BF6C-BB77C0895D44}"/>
    <cellStyle name="Normal 8 3 2 2 2 4 4" xfId="10334" xr:uid="{BBC93CC7-429F-42A7-85BE-8A5D7AFCE1D8}"/>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2 2 2" xfId="17110" xr:uid="{4B77F27F-A955-4C06-905B-957C8AF90FAE}"/>
    <cellStyle name="Normal 8 3 2 2 2 5 2 3" xfId="12892" xr:uid="{B2732C4B-D740-4EC2-A1DA-BEF030005A9D}"/>
    <cellStyle name="Normal 8 3 2 2 2 5 3" xfId="6515" xr:uid="{00000000-0005-0000-0000-0000431D0000}"/>
    <cellStyle name="Normal 8 3 2 2 2 5 3 2" xfId="14965" xr:uid="{54202663-1E47-465B-9008-E763613584FA}"/>
    <cellStyle name="Normal 8 3 2 2 2 5 4" xfId="10747" xr:uid="{5F5DDF03-AB0C-4083-9B7A-84EEF0DC37AD}"/>
    <cellStyle name="Normal 8 3 2 2 2 6" xfId="2645" xr:uid="{00000000-0005-0000-0000-0000441D0000}"/>
    <cellStyle name="Normal 8 3 2 2 2 6 2" xfId="6928" xr:uid="{00000000-0005-0000-0000-0000451D0000}"/>
    <cellStyle name="Normal 8 3 2 2 2 6 2 2" xfId="15378" xr:uid="{9CBF11D5-A2BF-4E9B-A418-08FFF9F3E82D}"/>
    <cellStyle name="Normal 8 3 2 2 2 6 3" xfId="11160" xr:uid="{60B6E68E-0F38-42B1-955F-21D198B32B0E}"/>
    <cellStyle name="Normal 8 3 2 2 2 7" xfId="4863" xr:uid="{00000000-0005-0000-0000-0000461D0000}"/>
    <cellStyle name="Normal 8 3 2 2 2 7 2" xfId="13313" xr:uid="{243DA32B-9F75-435B-9FB9-09758994D697}"/>
    <cellStyle name="Normal 8 3 2 2 2 8" xfId="9095" xr:uid="{21CF2ED2-A91D-4EE5-A55D-1F70F0AACC82}"/>
    <cellStyle name="Normal 8 3 2 2 3" xfId="964" xr:uid="{00000000-0005-0000-0000-0000471D0000}"/>
    <cellStyle name="Normal 8 3 2 2 3 2" xfId="3198" xr:uid="{00000000-0005-0000-0000-0000481D0000}"/>
    <cellStyle name="Normal 8 3 2 2 3 2 2" xfId="7420" xr:uid="{00000000-0005-0000-0000-0000491D0000}"/>
    <cellStyle name="Normal 8 3 2 2 3 2 2 2" xfId="15870" xr:uid="{9EAA62D4-73D5-479D-94AA-6551E49B0D15}"/>
    <cellStyle name="Normal 8 3 2 2 3 2 3" xfId="11652" xr:uid="{D51343D7-CCB6-4CA3-8F8B-2150017B09CF}"/>
    <cellStyle name="Normal 8 3 2 2 3 3" xfId="5275" xr:uid="{00000000-0005-0000-0000-00004A1D0000}"/>
    <cellStyle name="Normal 8 3 2 2 3 3 2" xfId="13725" xr:uid="{F27BB40D-E7BE-4429-B30C-7B862B9AAC2D}"/>
    <cellStyle name="Normal 8 3 2 2 3 4" xfId="9507" xr:uid="{39A70F54-B6A0-4FE8-85C4-301F2CD22875}"/>
    <cellStyle name="Normal 8 3 2 2 4" xfId="1381" xr:uid="{00000000-0005-0000-0000-00004B1D0000}"/>
    <cellStyle name="Normal 8 3 2 2 4 2" xfId="3611" xr:uid="{00000000-0005-0000-0000-00004C1D0000}"/>
    <cellStyle name="Normal 8 3 2 2 4 2 2" xfId="7833" xr:uid="{00000000-0005-0000-0000-00004D1D0000}"/>
    <cellStyle name="Normal 8 3 2 2 4 2 2 2" xfId="16283" xr:uid="{C2FDB0B8-A912-4C7C-A748-52BC5BA1326B}"/>
    <cellStyle name="Normal 8 3 2 2 4 2 3" xfId="12065" xr:uid="{252AE2E1-E575-4C0F-A7CE-A321309C75DC}"/>
    <cellStyle name="Normal 8 3 2 2 4 3" xfId="5688" xr:uid="{00000000-0005-0000-0000-00004E1D0000}"/>
    <cellStyle name="Normal 8 3 2 2 4 3 2" xfId="14138" xr:uid="{9B026DCE-75C6-488E-941F-8DE3DF8132CF}"/>
    <cellStyle name="Normal 8 3 2 2 4 4" xfId="9920" xr:uid="{4AD77DE9-5E50-4AFE-8F21-493AC4D1E5CF}"/>
    <cellStyle name="Normal 8 3 2 2 5" xfId="1794" xr:uid="{00000000-0005-0000-0000-00004F1D0000}"/>
    <cellStyle name="Normal 8 3 2 2 5 2" xfId="4024" xr:uid="{00000000-0005-0000-0000-0000501D0000}"/>
    <cellStyle name="Normal 8 3 2 2 5 2 2" xfId="8246" xr:uid="{00000000-0005-0000-0000-0000511D0000}"/>
    <cellStyle name="Normal 8 3 2 2 5 2 2 2" xfId="16696" xr:uid="{7C752BDE-52FA-4275-B279-C371F39F9707}"/>
    <cellStyle name="Normal 8 3 2 2 5 2 3" xfId="12478" xr:uid="{96F562A6-521C-4E14-A659-B5312A8D95C3}"/>
    <cellStyle name="Normal 8 3 2 2 5 3" xfId="6101" xr:uid="{00000000-0005-0000-0000-0000521D0000}"/>
    <cellStyle name="Normal 8 3 2 2 5 3 2" xfId="14551" xr:uid="{308D86C4-C555-4DF3-9093-FF3DEAD6E219}"/>
    <cellStyle name="Normal 8 3 2 2 5 4" xfId="10333" xr:uid="{F61F8A4B-33C2-4855-A27E-5ED502CDD2C8}"/>
    <cellStyle name="Normal 8 3 2 2 6" xfId="2208" xr:uid="{00000000-0005-0000-0000-0000531D0000}"/>
    <cellStyle name="Normal 8 3 2 2 6 2" xfId="4437" xr:uid="{00000000-0005-0000-0000-0000541D0000}"/>
    <cellStyle name="Normal 8 3 2 2 6 2 2" xfId="8659" xr:uid="{00000000-0005-0000-0000-0000551D0000}"/>
    <cellStyle name="Normal 8 3 2 2 6 2 2 2" xfId="17109" xr:uid="{750297CD-FB01-49E8-9E5F-DCA0138BA332}"/>
    <cellStyle name="Normal 8 3 2 2 6 2 3" xfId="12891" xr:uid="{8DA19FBA-DE7E-4ABD-BBAF-A2B74C1884E2}"/>
    <cellStyle name="Normal 8 3 2 2 6 3" xfId="6514" xr:uid="{00000000-0005-0000-0000-0000561D0000}"/>
    <cellStyle name="Normal 8 3 2 2 6 3 2" xfId="14964" xr:uid="{4EFE5C1E-2F9E-4DEB-9262-4CEA0576F7FF}"/>
    <cellStyle name="Normal 8 3 2 2 6 4" xfId="10746" xr:uid="{8186A4FC-C7B8-44E0-8428-789F6FA97596}"/>
    <cellStyle name="Normal 8 3 2 2 7" xfId="2644" xr:uid="{00000000-0005-0000-0000-0000571D0000}"/>
    <cellStyle name="Normal 8 3 2 2 7 2" xfId="6927" xr:uid="{00000000-0005-0000-0000-0000581D0000}"/>
    <cellStyle name="Normal 8 3 2 2 7 2 2" xfId="15377" xr:uid="{2097DC44-4768-457C-B6C6-3321E827D5A0}"/>
    <cellStyle name="Normal 8 3 2 2 7 3" xfId="11159" xr:uid="{76942EA4-2CB2-4CAF-B8BB-ACBC6732A2F3}"/>
    <cellStyle name="Normal 8 3 2 2 8" xfId="4862" xr:uid="{00000000-0005-0000-0000-0000591D0000}"/>
    <cellStyle name="Normal 8 3 2 2 8 2" xfId="13312" xr:uid="{9A5A1C53-45D5-462F-BCAA-7675F137E29C}"/>
    <cellStyle name="Normal 8 3 2 2 9" xfId="9094" xr:uid="{C7415E2B-337F-45E3-B34F-0070C8BC0413}"/>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2 2 2" xfId="15872" xr:uid="{02A20651-95E5-41EA-BC75-AD699A0E4F26}"/>
    <cellStyle name="Normal 8 3 2 3 2 2 3" xfId="11654" xr:uid="{2810D5C6-2B17-436E-8C74-1653C49DEB34}"/>
    <cellStyle name="Normal 8 3 2 3 2 3" xfId="5277" xr:uid="{00000000-0005-0000-0000-00005E1D0000}"/>
    <cellStyle name="Normal 8 3 2 3 2 3 2" xfId="13727" xr:uid="{4274F47A-F525-4215-A93C-B4F22D8A7B4C}"/>
    <cellStyle name="Normal 8 3 2 3 2 4" xfId="9509" xr:uid="{B6B2292A-FEE0-49A9-9758-7003EF825D6B}"/>
    <cellStyle name="Normal 8 3 2 3 3" xfId="1383" xr:uid="{00000000-0005-0000-0000-00005F1D0000}"/>
    <cellStyle name="Normal 8 3 2 3 3 2" xfId="3613" xr:uid="{00000000-0005-0000-0000-0000601D0000}"/>
    <cellStyle name="Normal 8 3 2 3 3 2 2" xfId="7835" xr:uid="{00000000-0005-0000-0000-0000611D0000}"/>
    <cellStyle name="Normal 8 3 2 3 3 2 2 2" xfId="16285" xr:uid="{76EA5A4C-3BCF-4ABA-B411-1F57225E15E6}"/>
    <cellStyle name="Normal 8 3 2 3 3 2 3" xfId="12067" xr:uid="{453EFA1F-CFFF-4F69-B34D-E8DD5BF5286F}"/>
    <cellStyle name="Normal 8 3 2 3 3 3" xfId="5690" xr:uid="{00000000-0005-0000-0000-0000621D0000}"/>
    <cellStyle name="Normal 8 3 2 3 3 3 2" xfId="14140" xr:uid="{077F68B2-51AE-4B5B-B225-4FEC97A1F3C4}"/>
    <cellStyle name="Normal 8 3 2 3 3 4" xfId="9922" xr:uid="{7032FC3F-37B8-48D7-9B72-45E3B7DA1A05}"/>
    <cellStyle name="Normal 8 3 2 3 4" xfId="1796" xr:uid="{00000000-0005-0000-0000-0000631D0000}"/>
    <cellStyle name="Normal 8 3 2 3 4 2" xfId="4026" xr:uid="{00000000-0005-0000-0000-0000641D0000}"/>
    <cellStyle name="Normal 8 3 2 3 4 2 2" xfId="8248" xr:uid="{00000000-0005-0000-0000-0000651D0000}"/>
    <cellStyle name="Normal 8 3 2 3 4 2 2 2" xfId="16698" xr:uid="{62C6209A-FA73-4AE1-BC1F-CB5EBACF74D5}"/>
    <cellStyle name="Normal 8 3 2 3 4 2 3" xfId="12480" xr:uid="{2CB17D14-2553-446C-BDDF-599A39CE9F1C}"/>
    <cellStyle name="Normal 8 3 2 3 4 3" xfId="6103" xr:uid="{00000000-0005-0000-0000-0000661D0000}"/>
    <cellStyle name="Normal 8 3 2 3 4 3 2" xfId="14553" xr:uid="{6356D56E-AC27-4005-99D8-C20417E331DC}"/>
    <cellStyle name="Normal 8 3 2 3 4 4" xfId="10335" xr:uid="{54163E6B-EBAB-48D9-8CD1-DDA567934A29}"/>
    <cellStyle name="Normal 8 3 2 3 5" xfId="2210" xr:uid="{00000000-0005-0000-0000-0000671D0000}"/>
    <cellStyle name="Normal 8 3 2 3 5 2" xfId="4439" xr:uid="{00000000-0005-0000-0000-0000681D0000}"/>
    <cellStyle name="Normal 8 3 2 3 5 2 2" xfId="8661" xr:uid="{00000000-0005-0000-0000-0000691D0000}"/>
    <cellStyle name="Normal 8 3 2 3 5 2 2 2" xfId="17111" xr:uid="{30EDA260-E313-4748-86DD-D4E4D8C310CF}"/>
    <cellStyle name="Normal 8 3 2 3 5 2 3" xfId="12893" xr:uid="{AD53A72D-F6E4-4F7F-86E6-620EC160A56C}"/>
    <cellStyle name="Normal 8 3 2 3 5 3" xfId="6516" xr:uid="{00000000-0005-0000-0000-00006A1D0000}"/>
    <cellStyle name="Normal 8 3 2 3 5 3 2" xfId="14966" xr:uid="{EE84C035-BADE-4112-AA30-FB54A80E3AFF}"/>
    <cellStyle name="Normal 8 3 2 3 5 4" xfId="10748" xr:uid="{6283F699-E37A-419B-8EE5-C51DEB8FCB23}"/>
    <cellStyle name="Normal 8 3 2 3 6" xfId="2646" xr:uid="{00000000-0005-0000-0000-00006B1D0000}"/>
    <cellStyle name="Normal 8 3 2 3 6 2" xfId="6929" xr:uid="{00000000-0005-0000-0000-00006C1D0000}"/>
    <cellStyle name="Normal 8 3 2 3 6 2 2" xfId="15379" xr:uid="{799F36FB-2E54-4394-BF0A-0BBE241B26D3}"/>
    <cellStyle name="Normal 8 3 2 3 6 3" xfId="11161" xr:uid="{5320E11D-ECDB-433F-8E88-B2BA71D9CF83}"/>
    <cellStyle name="Normal 8 3 2 3 7" xfId="4864" xr:uid="{00000000-0005-0000-0000-00006D1D0000}"/>
    <cellStyle name="Normal 8 3 2 3 7 2" xfId="13314" xr:uid="{68870A20-7F36-4355-AFC7-7B59F22286F3}"/>
    <cellStyle name="Normal 8 3 2 3 8" xfId="9096" xr:uid="{0B933F65-7AC2-4654-AA0B-3AFE49D2064D}"/>
    <cellStyle name="Normal 8 3 2 4" xfId="963" xr:uid="{00000000-0005-0000-0000-00006E1D0000}"/>
    <cellStyle name="Normal 8 3 2 4 2" xfId="3197" xr:uid="{00000000-0005-0000-0000-00006F1D0000}"/>
    <cellStyle name="Normal 8 3 2 4 2 2" xfId="7419" xr:uid="{00000000-0005-0000-0000-0000701D0000}"/>
    <cellStyle name="Normal 8 3 2 4 2 2 2" xfId="15869" xr:uid="{55513060-E6CB-4400-B847-6BEA560B0B37}"/>
    <cellStyle name="Normal 8 3 2 4 2 3" xfId="11651" xr:uid="{1BFE0944-9C24-41D5-8EC4-D89F063FE884}"/>
    <cellStyle name="Normal 8 3 2 4 3" xfId="5274" xr:uid="{00000000-0005-0000-0000-0000711D0000}"/>
    <cellStyle name="Normal 8 3 2 4 3 2" xfId="13724" xr:uid="{2DE05A95-BB2E-4E4C-A2B9-E42E827301D8}"/>
    <cellStyle name="Normal 8 3 2 4 4" xfId="9506" xr:uid="{5D414268-8AB6-4821-BECB-F9071D8415D1}"/>
    <cellStyle name="Normal 8 3 2 5" xfId="1380" xr:uid="{00000000-0005-0000-0000-0000721D0000}"/>
    <cellStyle name="Normal 8 3 2 5 2" xfId="3610" xr:uid="{00000000-0005-0000-0000-0000731D0000}"/>
    <cellStyle name="Normal 8 3 2 5 2 2" xfId="7832" xr:uid="{00000000-0005-0000-0000-0000741D0000}"/>
    <cellStyle name="Normal 8 3 2 5 2 2 2" xfId="16282" xr:uid="{F3B9ACBB-AD2F-4505-B093-B2D01D1D8546}"/>
    <cellStyle name="Normal 8 3 2 5 2 3" xfId="12064" xr:uid="{1EF79CB8-E27D-4B17-B1B2-9002A83748AA}"/>
    <cellStyle name="Normal 8 3 2 5 3" xfId="5687" xr:uid="{00000000-0005-0000-0000-0000751D0000}"/>
    <cellStyle name="Normal 8 3 2 5 3 2" xfId="14137" xr:uid="{BB7FBC01-62D4-485E-BAC7-1E8D3A4E1008}"/>
    <cellStyle name="Normal 8 3 2 5 4" xfId="9919" xr:uid="{8CB0D689-FAB7-495C-A2BD-BA26A5841EE3}"/>
    <cellStyle name="Normal 8 3 2 6" xfId="1793" xr:uid="{00000000-0005-0000-0000-0000761D0000}"/>
    <cellStyle name="Normal 8 3 2 6 2" xfId="4023" xr:uid="{00000000-0005-0000-0000-0000771D0000}"/>
    <cellStyle name="Normal 8 3 2 6 2 2" xfId="8245" xr:uid="{00000000-0005-0000-0000-0000781D0000}"/>
    <cellStyle name="Normal 8 3 2 6 2 2 2" xfId="16695" xr:uid="{C8B22150-C73A-4059-8372-D2DA515E14FE}"/>
    <cellStyle name="Normal 8 3 2 6 2 3" xfId="12477" xr:uid="{F8910DD1-739F-4EF5-B812-4602CF89AFC0}"/>
    <cellStyle name="Normal 8 3 2 6 3" xfId="6100" xr:uid="{00000000-0005-0000-0000-0000791D0000}"/>
    <cellStyle name="Normal 8 3 2 6 3 2" xfId="14550" xr:uid="{06CC9850-0878-4D27-865F-ED958C53ECD4}"/>
    <cellStyle name="Normal 8 3 2 6 4" xfId="10332" xr:uid="{40C3AF80-D8A2-464F-BC33-AE913EAD59D7}"/>
    <cellStyle name="Normal 8 3 2 7" xfId="2207" xr:uid="{00000000-0005-0000-0000-00007A1D0000}"/>
    <cellStyle name="Normal 8 3 2 7 2" xfId="4436" xr:uid="{00000000-0005-0000-0000-00007B1D0000}"/>
    <cellStyle name="Normal 8 3 2 7 2 2" xfId="8658" xr:uid="{00000000-0005-0000-0000-00007C1D0000}"/>
    <cellStyle name="Normal 8 3 2 7 2 2 2" xfId="17108" xr:uid="{7D0C6276-26A4-4835-9A8E-757F8A5956C3}"/>
    <cellStyle name="Normal 8 3 2 7 2 3" xfId="12890" xr:uid="{2CD17D84-B32B-4BF2-A74D-DF7B67B3B222}"/>
    <cellStyle name="Normal 8 3 2 7 3" xfId="6513" xr:uid="{00000000-0005-0000-0000-00007D1D0000}"/>
    <cellStyle name="Normal 8 3 2 7 3 2" xfId="14963" xr:uid="{892BF57B-D357-4F20-A338-9DDA39130551}"/>
    <cellStyle name="Normal 8 3 2 7 4" xfId="10745" xr:uid="{785FCB78-68C8-4AD0-A20A-7B3D257CBD55}"/>
    <cellStyle name="Normal 8 3 2 8" xfId="2643" xr:uid="{00000000-0005-0000-0000-00007E1D0000}"/>
    <cellStyle name="Normal 8 3 2 8 2" xfId="6926" xr:uid="{00000000-0005-0000-0000-00007F1D0000}"/>
    <cellStyle name="Normal 8 3 2 8 2 2" xfId="15376" xr:uid="{E036F9D1-7892-459D-BD0D-650700446A2E}"/>
    <cellStyle name="Normal 8 3 2 8 3" xfId="11158" xr:uid="{D437ECA2-9032-4895-8127-F0F0A10CA39B}"/>
    <cellStyle name="Normal 8 3 2 9" xfId="4861" xr:uid="{00000000-0005-0000-0000-0000801D0000}"/>
    <cellStyle name="Normal 8 3 2 9 2" xfId="13311" xr:uid="{B28DA695-A743-430C-A573-9AA253C9113C}"/>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2 2 2" xfId="15874" xr:uid="{3794DD12-21BD-43FD-ABB3-348953A8AEDC}"/>
    <cellStyle name="Normal 8 3 3 2 2 2 3" xfId="11656" xr:uid="{7B4E1F9B-5B08-48B2-BD44-DE935C19CDA7}"/>
    <cellStyle name="Normal 8 3 3 2 2 3" xfId="5279" xr:uid="{00000000-0005-0000-0000-0000861D0000}"/>
    <cellStyle name="Normal 8 3 3 2 2 3 2" xfId="13729" xr:uid="{73DF54C2-4BA6-4102-93E6-93E03305AABA}"/>
    <cellStyle name="Normal 8 3 3 2 2 4" xfId="9511" xr:uid="{90FE0E07-513D-4AD3-B9FB-43D2EA56BF79}"/>
    <cellStyle name="Normal 8 3 3 2 3" xfId="1385" xr:uid="{00000000-0005-0000-0000-0000871D0000}"/>
    <cellStyle name="Normal 8 3 3 2 3 2" xfId="3615" xr:uid="{00000000-0005-0000-0000-0000881D0000}"/>
    <cellStyle name="Normal 8 3 3 2 3 2 2" xfId="7837" xr:uid="{00000000-0005-0000-0000-0000891D0000}"/>
    <cellStyle name="Normal 8 3 3 2 3 2 2 2" xfId="16287" xr:uid="{EA2191ED-A569-4356-BD93-9302CEED61C7}"/>
    <cellStyle name="Normal 8 3 3 2 3 2 3" xfId="12069" xr:uid="{38F3B2C6-A583-44F0-AED9-3A5A787FC1E2}"/>
    <cellStyle name="Normal 8 3 3 2 3 3" xfId="5692" xr:uid="{00000000-0005-0000-0000-00008A1D0000}"/>
    <cellStyle name="Normal 8 3 3 2 3 3 2" xfId="14142" xr:uid="{63DB760D-3BF9-4C97-BDF2-2258AA3ABC65}"/>
    <cellStyle name="Normal 8 3 3 2 3 4" xfId="9924" xr:uid="{20C64900-888C-47BD-B511-087A506953E9}"/>
    <cellStyle name="Normal 8 3 3 2 4" xfId="1798" xr:uid="{00000000-0005-0000-0000-00008B1D0000}"/>
    <cellStyle name="Normal 8 3 3 2 4 2" xfId="4028" xr:uid="{00000000-0005-0000-0000-00008C1D0000}"/>
    <cellStyle name="Normal 8 3 3 2 4 2 2" xfId="8250" xr:uid="{00000000-0005-0000-0000-00008D1D0000}"/>
    <cellStyle name="Normal 8 3 3 2 4 2 2 2" xfId="16700" xr:uid="{236A5D01-AC99-4CC5-936B-39AFE573F5A6}"/>
    <cellStyle name="Normal 8 3 3 2 4 2 3" xfId="12482" xr:uid="{9E43E5D6-CB69-417A-9F15-E53E01F6935A}"/>
    <cellStyle name="Normal 8 3 3 2 4 3" xfId="6105" xr:uid="{00000000-0005-0000-0000-00008E1D0000}"/>
    <cellStyle name="Normal 8 3 3 2 4 3 2" xfId="14555" xr:uid="{A4516043-B6D9-4555-8780-23898BF95029}"/>
    <cellStyle name="Normal 8 3 3 2 4 4" xfId="10337" xr:uid="{F038BBF5-579F-4766-903F-D590B9DE7177}"/>
    <cellStyle name="Normal 8 3 3 2 5" xfId="2212" xr:uid="{00000000-0005-0000-0000-00008F1D0000}"/>
    <cellStyle name="Normal 8 3 3 2 5 2" xfId="4441" xr:uid="{00000000-0005-0000-0000-0000901D0000}"/>
    <cellStyle name="Normal 8 3 3 2 5 2 2" xfId="8663" xr:uid="{00000000-0005-0000-0000-0000911D0000}"/>
    <cellStyle name="Normal 8 3 3 2 5 2 2 2" xfId="17113" xr:uid="{56D82EB1-8FC5-457F-AA15-BE825144B6AA}"/>
    <cellStyle name="Normal 8 3 3 2 5 2 3" xfId="12895" xr:uid="{AB12CE7B-88B2-4F06-87D1-084D7498A8B4}"/>
    <cellStyle name="Normal 8 3 3 2 5 3" xfId="6518" xr:uid="{00000000-0005-0000-0000-0000921D0000}"/>
    <cellStyle name="Normal 8 3 3 2 5 3 2" xfId="14968" xr:uid="{3006E887-30BE-4B48-AEBA-E3842E61F54E}"/>
    <cellStyle name="Normal 8 3 3 2 5 4" xfId="10750" xr:uid="{51EB0FFC-35B0-4D66-A968-C2C004CAC971}"/>
    <cellStyle name="Normal 8 3 3 2 6" xfId="2648" xr:uid="{00000000-0005-0000-0000-0000931D0000}"/>
    <cellStyle name="Normal 8 3 3 2 6 2" xfId="6931" xr:uid="{00000000-0005-0000-0000-0000941D0000}"/>
    <cellStyle name="Normal 8 3 3 2 6 2 2" xfId="15381" xr:uid="{BD5E15B5-F414-44EC-B265-D49D4DD9027B}"/>
    <cellStyle name="Normal 8 3 3 2 6 3" xfId="11163" xr:uid="{0E7ADA0E-B472-451E-89EF-6E3785F6004C}"/>
    <cellStyle name="Normal 8 3 3 2 7" xfId="4866" xr:uid="{00000000-0005-0000-0000-0000951D0000}"/>
    <cellStyle name="Normal 8 3 3 2 7 2" xfId="13316" xr:uid="{6ED8A9F5-3978-4D88-B886-35BD4178A0C3}"/>
    <cellStyle name="Normal 8 3 3 2 8" xfId="9098" xr:uid="{4CA46292-779D-4D7A-AAB7-247D68974A59}"/>
    <cellStyle name="Normal 8 3 3 3" xfId="967" xr:uid="{00000000-0005-0000-0000-0000961D0000}"/>
    <cellStyle name="Normal 8 3 3 3 2" xfId="3201" xr:uid="{00000000-0005-0000-0000-0000971D0000}"/>
    <cellStyle name="Normal 8 3 3 3 2 2" xfId="7423" xr:uid="{00000000-0005-0000-0000-0000981D0000}"/>
    <cellStyle name="Normal 8 3 3 3 2 2 2" xfId="15873" xr:uid="{6ED1A160-CA46-4EF5-9F61-96F71874CDAB}"/>
    <cellStyle name="Normal 8 3 3 3 2 3" xfId="11655" xr:uid="{90292CA6-14B9-4963-8B58-5836217C1642}"/>
    <cellStyle name="Normal 8 3 3 3 3" xfId="5278" xr:uid="{00000000-0005-0000-0000-0000991D0000}"/>
    <cellStyle name="Normal 8 3 3 3 3 2" xfId="13728" xr:uid="{09017227-54B4-4E45-8767-DEFCC2881444}"/>
    <cellStyle name="Normal 8 3 3 3 4" xfId="9510" xr:uid="{7BB84968-0F3C-426B-B9E9-FAEA75AD9F6C}"/>
    <cellStyle name="Normal 8 3 3 4" xfId="1384" xr:uid="{00000000-0005-0000-0000-00009A1D0000}"/>
    <cellStyle name="Normal 8 3 3 4 2" xfId="3614" xr:uid="{00000000-0005-0000-0000-00009B1D0000}"/>
    <cellStyle name="Normal 8 3 3 4 2 2" xfId="7836" xr:uid="{00000000-0005-0000-0000-00009C1D0000}"/>
    <cellStyle name="Normal 8 3 3 4 2 2 2" xfId="16286" xr:uid="{C5731C24-1407-49E6-84B8-3F4053A741C4}"/>
    <cellStyle name="Normal 8 3 3 4 2 3" xfId="12068" xr:uid="{0EDAA2C7-8877-4B67-982E-9B65D5D56285}"/>
    <cellStyle name="Normal 8 3 3 4 3" xfId="5691" xr:uid="{00000000-0005-0000-0000-00009D1D0000}"/>
    <cellStyle name="Normal 8 3 3 4 3 2" xfId="14141" xr:uid="{75A0C117-0496-4FE2-8942-F84BB9CE8133}"/>
    <cellStyle name="Normal 8 3 3 4 4" xfId="9923" xr:uid="{208E3344-DA9D-46F0-AAD2-48AE0FA1725C}"/>
    <cellStyle name="Normal 8 3 3 5" xfId="1797" xr:uid="{00000000-0005-0000-0000-00009E1D0000}"/>
    <cellStyle name="Normal 8 3 3 5 2" xfId="4027" xr:uid="{00000000-0005-0000-0000-00009F1D0000}"/>
    <cellStyle name="Normal 8 3 3 5 2 2" xfId="8249" xr:uid="{00000000-0005-0000-0000-0000A01D0000}"/>
    <cellStyle name="Normal 8 3 3 5 2 2 2" xfId="16699" xr:uid="{51BC8270-9BDF-4DFA-ADCB-A4E945000A7B}"/>
    <cellStyle name="Normal 8 3 3 5 2 3" xfId="12481" xr:uid="{78D51E4E-AF47-47A8-903F-71E2CC05A66F}"/>
    <cellStyle name="Normal 8 3 3 5 3" xfId="6104" xr:uid="{00000000-0005-0000-0000-0000A11D0000}"/>
    <cellStyle name="Normal 8 3 3 5 3 2" xfId="14554" xr:uid="{B8AE6AC4-47A0-4005-BF2E-8DA56A056CAC}"/>
    <cellStyle name="Normal 8 3 3 5 4" xfId="10336" xr:uid="{C8289E28-8534-4941-A9FB-E3D6FC283FD9}"/>
    <cellStyle name="Normal 8 3 3 6" xfId="2211" xr:uid="{00000000-0005-0000-0000-0000A21D0000}"/>
    <cellStyle name="Normal 8 3 3 6 2" xfId="4440" xr:uid="{00000000-0005-0000-0000-0000A31D0000}"/>
    <cellStyle name="Normal 8 3 3 6 2 2" xfId="8662" xr:uid="{00000000-0005-0000-0000-0000A41D0000}"/>
    <cellStyle name="Normal 8 3 3 6 2 2 2" xfId="17112" xr:uid="{199DFC6B-0844-4817-9973-D04FBB3E2412}"/>
    <cellStyle name="Normal 8 3 3 6 2 3" xfId="12894" xr:uid="{0B00FC70-C892-4FE0-8C01-FAF030F46715}"/>
    <cellStyle name="Normal 8 3 3 6 3" xfId="6517" xr:uid="{00000000-0005-0000-0000-0000A51D0000}"/>
    <cellStyle name="Normal 8 3 3 6 3 2" xfId="14967" xr:uid="{E3BDCAD2-8B1B-487B-9838-5327E2760C23}"/>
    <cellStyle name="Normal 8 3 3 6 4" xfId="10749" xr:uid="{90D451B3-6EA1-49B4-AD45-5A54BE2D476B}"/>
    <cellStyle name="Normal 8 3 3 7" xfId="2647" xr:uid="{00000000-0005-0000-0000-0000A61D0000}"/>
    <cellStyle name="Normal 8 3 3 7 2" xfId="6930" xr:uid="{00000000-0005-0000-0000-0000A71D0000}"/>
    <cellStyle name="Normal 8 3 3 7 2 2" xfId="15380" xr:uid="{86B4832C-E501-4475-9AB6-FE30240BB3AE}"/>
    <cellStyle name="Normal 8 3 3 7 3" xfId="11162" xr:uid="{99DBC369-145D-48B3-B792-DED54AA97793}"/>
    <cellStyle name="Normal 8 3 3 8" xfId="4865" xr:uid="{00000000-0005-0000-0000-0000A81D0000}"/>
    <cellStyle name="Normal 8 3 3 8 2" xfId="13315" xr:uid="{D97724C1-5852-4A1A-A268-C2FD0D74A1AD}"/>
    <cellStyle name="Normal 8 3 3 9" xfId="9097" xr:uid="{4C5CDC5D-8C49-44CC-8D9E-3A6E65080214}"/>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2 2 2" xfId="15875" xr:uid="{D5E4AF6A-F280-40E6-9B33-EE742E54492C}"/>
    <cellStyle name="Normal 8 3 4 2 2 3" xfId="11657" xr:uid="{DB0A7592-D8CE-4843-A19B-7E9A3A32FCE2}"/>
    <cellStyle name="Normal 8 3 4 2 3" xfId="5280" xr:uid="{00000000-0005-0000-0000-0000AD1D0000}"/>
    <cellStyle name="Normal 8 3 4 2 3 2" xfId="13730" xr:uid="{F5ADC2B1-806B-4D44-81BF-CDDD4943D512}"/>
    <cellStyle name="Normal 8 3 4 2 4" xfId="9512" xr:uid="{A8DFF8F7-5B17-4533-A21B-518655FECDFD}"/>
    <cellStyle name="Normal 8 3 4 3" xfId="1386" xr:uid="{00000000-0005-0000-0000-0000AE1D0000}"/>
    <cellStyle name="Normal 8 3 4 3 2" xfId="3616" xr:uid="{00000000-0005-0000-0000-0000AF1D0000}"/>
    <cellStyle name="Normal 8 3 4 3 2 2" xfId="7838" xr:uid="{00000000-0005-0000-0000-0000B01D0000}"/>
    <cellStyle name="Normal 8 3 4 3 2 2 2" xfId="16288" xr:uid="{49CE1C6A-C818-494A-A1DA-09CE82940040}"/>
    <cellStyle name="Normal 8 3 4 3 2 3" xfId="12070" xr:uid="{6648506A-27C2-48DD-8364-E68DC3FA0156}"/>
    <cellStyle name="Normal 8 3 4 3 3" xfId="5693" xr:uid="{00000000-0005-0000-0000-0000B11D0000}"/>
    <cellStyle name="Normal 8 3 4 3 3 2" xfId="14143" xr:uid="{B5A9C503-B2FD-46D5-A3AA-4F3EE2286EDD}"/>
    <cellStyle name="Normal 8 3 4 3 4" xfId="9925" xr:uid="{F2D7A3B3-A03E-4B70-A8A1-E1936BA54CDE}"/>
    <cellStyle name="Normal 8 3 4 4" xfId="1799" xr:uid="{00000000-0005-0000-0000-0000B21D0000}"/>
    <cellStyle name="Normal 8 3 4 4 2" xfId="4029" xr:uid="{00000000-0005-0000-0000-0000B31D0000}"/>
    <cellStyle name="Normal 8 3 4 4 2 2" xfId="8251" xr:uid="{00000000-0005-0000-0000-0000B41D0000}"/>
    <cellStyle name="Normal 8 3 4 4 2 2 2" xfId="16701" xr:uid="{25DA5278-8054-4D27-988F-B876F3A12E4D}"/>
    <cellStyle name="Normal 8 3 4 4 2 3" xfId="12483" xr:uid="{54BAD539-6B2E-47FD-8405-86074CC1497F}"/>
    <cellStyle name="Normal 8 3 4 4 3" xfId="6106" xr:uid="{00000000-0005-0000-0000-0000B51D0000}"/>
    <cellStyle name="Normal 8 3 4 4 3 2" xfId="14556" xr:uid="{8842F942-CB81-4225-9684-641A801493E4}"/>
    <cellStyle name="Normal 8 3 4 4 4" xfId="10338" xr:uid="{4B04E271-6843-42E5-8EE0-712184CC1CDA}"/>
    <cellStyle name="Normal 8 3 4 5" xfId="2213" xr:uid="{00000000-0005-0000-0000-0000B61D0000}"/>
    <cellStyle name="Normal 8 3 4 5 2" xfId="4442" xr:uid="{00000000-0005-0000-0000-0000B71D0000}"/>
    <cellStyle name="Normal 8 3 4 5 2 2" xfId="8664" xr:uid="{00000000-0005-0000-0000-0000B81D0000}"/>
    <cellStyle name="Normal 8 3 4 5 2 2 2" xfId="17114" xr:uid="{9CD1C202-9597-47C1-8C06-34793723CCF9}"/>
    <cellStyle name="Normal 8 3 4 5 2 3" xfId="12896" xr:uid="{76CE5D9A-ACC7-40F5-87A8-DC3B0EAECB87}"/>
    <cellStyle name="Normal 8 3 4 5 3" xfId="6519" xr:uid="{00000000-0005-0000-0000-0000B91D0000}"/>
    <cellStyle name="Normal 8 3 4 5 3 2" xfId="14969" xr:uid="{B41B89FE-B69B-451E-A4C9-443E97C97FFC}"/>
    <cellStyle name="Normal 8 3 4 5 4" xfId="10751" xr:uid="{3C623348-0A79-4ABA-A8C7-695AE9824392}"/>
    <cellStyle name="Normal 8 3 4 6" xfId="2649" xr:uid="{00000000-0005-0000-0000-0000BA1D0000}"/>
    <cellStyle name="Normal 8 3 4 6 2" xfId="6932" xr:uid="{00000000-0005-0000-0000-0000BB1D0000}"/>
    <cellStyle name="Normal 8 3 4 6 2 2" xfId="15382" xr:uid="{402B1ECA-A0AD-47D2-AAAA-B69260C444CC}"/>
    <cellStyle name="Normal 8 3 4 6 3" xfId="11164" xr:uid="{884D76DC-4964-48B5-A17D-2BC2D3D60662}"/>
    <cellStyle name="Normal 8 3 4 7" xfId="4867" xr:uid="{00000000-0005-0000-0000-0000BC1D0000}"/>
    <cellStyle name="Normal 8 3 4 7 2" xfId="13317" xr:uid="{B5498A28-3211-49C3-9032-8222A301DC93}"/>
    <cellStyle name="Normal 8 3 4 8" xfId="9099" xr:uid="{AA31EE83-3B37-4296-B776-355E22D6BD41}"/>
    <cellStyle name="Normal 8 3 5" xfId="962" xr:uid="{00000000-0005-0000-0000-0000BD1D0000}"/>
    <cellStyle name="Normal 8 3 5 2" xfId="3196" xr:uid="{00000000-0005-0000-0000-0000BE1D0000}"/>
    <cellStyle name="Normal 8 3 5 2 2" xfId="7418" xr:uid="{00000000-0005-0000-0000-0000BF1D0000}"/>
    <cellStyle name="Normal 8 3 5 2 2 2" xfId="15868" xr:uid="{0ACF59B8-1573-4EE0-8B49-A59D25B9631F}"/>
    <cellStyle name="Normal 8 3 5 2 3" xfId="11650" xr:uid="{9EEAFA23-A6F0-4E72-99DE-D3626B0ACCDB}"/>
    <cellStyle name="Normal 8 3 5 3" xfId="5273" xr:uid="{00000000-0005-0000-0000-0000C01D0000}"/>
    <cellStyle name="Normal 8 3 5 3 2" xfId="13723" xr:uid="{965D5354-2F44-4B7B-ADFD-91E7FE52EBE0}"/>
    <cellStyle name="Normal 8 3 5 4" xfId="9505" xr:uid="{D6D98DAE-2CF6-4159-BFD7-27E6793A6A24}"/>
    <cellStyle name="Normal 8 3 6" xfId="1379" xr:uid="{00000000-0005-0000-0000-0000C11D0000}"/>
    <cellStyle name="Normal 8 3 6 2" xfId="3609" xr:uid="{00000000-0005-0000-0000-0000C21D0000}"/>
    <cellStyle name="Normal 8 3 6 2 2" xfId="7831" xr:uid="{00000000-0005-0000-0000-0000C31D0000}"/>
    <cellStyle name="Normal 8 3 6 2 2 2" xfId="16281" xr:uid="{F04CBCC2-3872-49A3-83AD-1F3E609725CC}"/>
    <cellStyle name="Normal 8 3 6 2 3" xfId="12063" xr:uid="{A3BCD187-D1A9-48C5-99A6-87F5D1AD469C}"/>
    <cellStyle name="Normal 8 3 6 3" xfId="5686" xr:uid="{00000000-0005-0000-0000-0000C41D0000}"/>
    <cellStyle name="Normal 8 3 6 3 2" xfId="14136" xr:uid="{131CBD81-76B1-48AC-95F8-F08CA3C0B1CF}"/>
    <cellStyle name="Normal 8 3 6 4" xfId="9918" xr:uid="{98EFA554-C675-41BC-82EE-5C54EA4D3F09}"/>
    <cellStyle name="Normal 8 3 7" xfId="1792" xr:uid="{00000000-0005-0000-0000-0000C51D0000}"/>
    <cellStyle name="Normal 8 3 7 2" xfId="4022" xr:uid="{00000000-0005-0000-0000-0000C61D0000}"/>
    <cellStyle name="Normal 8 3 7 2 2" xfId="8244" xr:uid="{00000000-0005-0000-0000-0000C71D0000}"/>
    <cellStyle name="Normal 8 3 7 2 2 2" xfId="16694" xr:uid="{FC051B17-CB3C-4768-81A7-650CD3FCF165}"/>
    <cellStyle name="Normal 8 3 7 2 3" xfId="12476" xr:uid="{6CA5F8B9-EAAA-47F9-9E23-675D871D4560}"/>
    <cellStyle name="Normal 8 3 7 3" xfId="6099" xr:uid="{00000000-0005-0000-0000-0000C81D0000}"/>
    <cellStyle name="Normal 8 3 7 3 2" xfId="14549" xr:uid="{13D15AAC-8BD1-4C58-BB60-0A8834ABE19C}"/>
    <cellStyle name="Normal 8 3 7 4" xfId="10331" xr:uid="{6EEAF10F-6BDD-4240-A0AC-B203E0EC7D39}"/>
    <cellStyle name="Normal 8 3 8" xfId="2206" xr:uid="{00000000-0005-0000-0000-0000C91D0000}"/>
    <cellStyle name="Normal 8 3 8 2" xfId="4435" xr:uid="{00000000-0005-0000-0000-0000CA1D0000}"/>
    <cellStyle name="Normal 8 3 8 2 2" xfId="8657" xr:uid="{00000000-0005-0000-0000-0000CB1D0000}"/>
    <cellStyle name="Normal 8 3 8 2 2 2" xfId="17107" xr:uid="{7FDA34C8-C466-4ED5-8BFF-03F32FC9437F}"/>
    <cellStyle name="Normal 8 3 8 2 3" xfId="12889" xr:uid="{9F0D15BA-32FA-4E24-B01E-165B907FE2FD}"/>
    <cellStyle name="Normal 8 3 8 3" xfId="6512" xr:uid="{00000000-0005-0000-0000-0000CC1D0000}"/>
    <cellStyle name="Normal 8 3 8 3 2" xfId="14962" xr:uid="{CC3D1C5C-1F43-4D1A-AB27-329C60E3EB7A}"/>
    <cellStyle name="Normal 8 3 8 4" xfId="10744" xr:uid="{00A1D432-7B9E-4D06-9F5D-11CA3EB7FAC5}"/>
    <cellStyle name="Normal 8 3 9" xfId="2642" xr:uid="{00000000-0005-0000-0000-0000CD1D0000}"/>
    <cellStyle name="Normal 8 3 9 2" xfId="6925" xr:uid="{00000000-0005-0000-0000-0000CE1D0000}"/>
    <cellStyle name="Normal 8 3 9 2 2" xfId="15375" xr:uid="{D8A6362F-B184-46C9-8F1C-8C438F173457}"/>
    <cellStyle name="Normal 8 3 9 3" xfId="11157" xr:uid="{46B73846-5773-4C34-AAE6-31C5F4323F3B}"/>
    <cellStyle name="Normal 8 4" xfId="503" xr:uid="{00000000-0005-0000-0000-0000CF1D0000}"/>
    <cellStyle name="Normal 8 4 10" xfId="9100" xr:uid="{CA954B01-3CE6-4F52-8DAE-D4266433D945}"/>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2 2 2" xfId="15878" xr:uid="{A7FA85BF-A254-49D2-8DA4-6F4ADE856591}"/>
    <cellStyle name="Normal 8 4 2 2 2 2 3" xfId="11660" xr:uid="{3A8738BC-3A3C-4CEB-8D87-29F2D5C770B9}"/>
    <cellStyle name="Normal 8 4 2 2 2 3" xfId="5283" xr:uid="{00000000-0005-0000-0000-0000D51D0000}"/>
    <cellStyle name="Normal 8 4 2 2 2 3 2" xfId="13733" xr:uid="{DD9C1929-7A8E-4340-B8E2-9692058416E9}"/>
    <cellStyle name="Normal 8 4 2 2 2 4" xfId="9515" xr:uid="{B3DB61A8-8BC2-4584-9A22-4ABD8364521E}"/>
    <cellStyle name="Normal 8 4 2 2 3" xfId="1389" xr:uid="{00000000-0005-0000-0000-0000D61D0000}"/>
    <cellStyle name="Normal 8 4 2 2 3 2" xfId="3619" xr:uid="{00000000-0005-0000-0000-0000D71D0000}"/>
    <cellStyle name="Normal 8 4 2 2 3 2 2" xfId="7841" xr:uid="{00000000-0005-0000-0000-0000D81D0000}"/>
    <cellStyle name="Normal 8 4 2 2 3 2 2 2" xfId="16291" xr:uid="{2C36497B-EB3A-43E6-A30C-C4B20CE050DE}"/>
    <cellStyle name="Normal 8 4 2 2 3 2 3" xfId="12073" xr:uid="{5EAEE2E6-55B3-4C60-A7CC-3825098ED21B}"/>
    <cellStyle name="Normal 8 4 2 2 3 3" xfId="5696" xr:uid="{00000000-0005-0000-0000-0000D91D0000}"/>
    <cellStyle name="Normal 8 4 2 2 3 3 2" xfId="14146" xr:uid="{2AADE487-2080-45EB-AC0B-D2B0FF2B0806}"/>
    <cellStyle name="Normal 8 4 2 2 3 4" xfId="9928" xr:uid="{D5758B58-2875-4DE6-91D7-0B9FE4529EBD}"/>
    <cellStyle name="Normal 8 4 2 2 4" xfId="1802" xr:uid="{00000000-0005-0000-0000-0000DA1D0000}"/>
    <cellStyle name="Normal 8 4 2 2 4 2" xfId="4032" xr:uid="{00000000-0005-0000-0000-0000DB1D0000}"/>
    <cellStyle name="Normal 8 4 2 2 4 2 2" xfId="8254" xr:uid="{00000000-0005-0000-0000-0000DC1D0000}"/>
    <cellStyle name="Normal 8 4 2 2 4 2 2 2" xfId="16704" xr:uid="{50524089-15E6-4F5E-BAEC-5426E605D643}"/>
    <cellStyle name="Normal 8 4 2 2 4 2 3" xfId="12486" xr:uid="{7871B8FC-CFAD-4BBA-97A5-8804D5004574}"/>
    <cellStyle name="Normal 8 4 2 2 4 3" xfId="6109" xr:uid="{00000000-0005-0000-0000-0000DD1D0000}"/>
    <cellStyle name="Normal 8 4 2 2 4 3 2" xfId="14559" xr:uid="{06312CE4-3454-408E-A473-FCE921AEBACB}"/>
    <cellStyle name="Normal 8 4 2 2 4 4" xfId="10341" xr:uid="{7BED86E3-29C7-439C-A39A-1016C0207B6E}"/>
    <cellStyle name="Normal 8 4 2 2 5" xfId="2216" xr:uid="{00000000-0005-0000-0000-0000DE1D0000}"/>
    <cellStyle name="Normal 8 4 2 2 5 2" xfId="4445" xr:uid="{00000000-0005-0000-0000-0000DF1D0000}"/>
    <cellStyle name="Normal 8 4 2 2 5 2 2" xfId="8667" xr:uid="{00000000-0005-0000-0000-0000E01D0000}"/>
    <cellStyle name="Normal 8 4 2 2 5 2 2 2" xfId="17117" xr:uid="{C0AB1BEA-5D5D-4F25-805B-E1E0423AF1C4}"/>
    <cellStyle name="Normal 8 4 2 2 5 2 3" xfId="12899" xr:uid="{BA4836F7-C932-4AAC-926E-B182A3BCF91C}"/>
    <cellStyle name="Normal 8 4 2 2 5 3" xfId="6522" xr:uid="{00000000-0005-0000-0000-0000E11D0000}"/>
    <cellStyle name="Normal 8 4 2 2 5 3 2" xfId="14972" xr:uid="{8CF4BF20-6FED-4FBA-B7DB-135C020A4196}"/>
    <cellStyle name="Normal 8 4 2 2 5 4" xfId="10754" xr:uid="{C5A2DD3A-E5DE-445B-B81E-FC8D560A2144}"/>
    <cellStyle name="Normal 8 4 2 2 6" xfId="2652" xr:uid="{00000000-0005-0000-0000-0000E21D0000}"/>
    <cellStyle name="Normal 8 4 2 2 6 2" xfId="6935" xr:uid="{00000000-0005-0000-0000-0000E31D0000}"/>
    <cellStyle name="Normal 8 4 2 2 6 2 2" xfId="15385" xr:uid="{AF563FDD-2531-4C51-AF94-AF9192781908}"/>
    <cellStyle name="Normal 8 4 2 2 6 3" xfId="11167" xr:uid="{B7001623-FE29-4165-989D-2EC578025BD9}"/>
    <cellStyle name="Normal 8 4 2 2 7" xfId="4870" xr:uid="{00000000-0005-0000-0000-0000E41D0000}"/>
    <cellStyle name="Normal 8 4 2 2 7 2" xfId="13320" xr:uid="{4287FF5B-D945-437A-9785-CF658E628D00}"/>
    <cellStyle name="Normal 8 4 2 2 8" xfId="9102" xr:uid="{E9156B68-8F29-45A7-9053-73D0C46AE198}"/>
    <cellStyle name="Normal 8 4 2 3" xfId="971" xr:uid="{00000000-0005-0000-0000-0000E51D0000}"/>
    <cellStyle name="Normal 8 4 2 3 2" xfId="3205" xr:uid="{00000000-0005-0000-0000-0000E61D0000}"/>
    <cellStyle name="Normal 8 4 2 3 2 2" xfId="7427" xr:uid="{00000000-0005-0000-0000-0000E71D0000}"/>
    <cellStyle name="Normal 8 4 2 3 2 2 2" xfId="15877" xr:uid="{A489789F-0C44-426B-BDB3-D6026A0DC19B}"/>
    <cellStyle name="Normal 8 4 2 3 2 3" xfId="11659" xr:uid="{5C0C6638-FED1-44E6-A243-4F8725472D83}"/>
    <cellStyle name="Normal 8 4 2 3 3" xfId="5282" xr:uid="{00000000-0005-0000-0000-0000E81D0000}"/>
    <cellStyle name="Normal 8 4 2 3 3 2" xfId="13732" xr:uid="{F5B4295E-7E55-4C48-92BE-4AF30F7EB8A3}"/>
    <cellStyle name="Normal 8 4 2 3 4" xfId="9514" xr:uid="{602A841E-806A-489E-89F6-4AC4A793BD3B}"/>
    <cellStyle name="Normal 8 4 2 4" xfId="1388" xr:uid="{00000000-0005-0000-0000-0000E91D0000}"/>
    <cellStyle name="Normal 8 4 2 4 2" xfId="3618" xr:uid="{00000000-0005-0000-0000-0000EA1D0000}"/>
    <cellStyle name="Normal 8 4 2 4 2 2" xfId="7840" xr:uid="{00000000-0005-0000-0000-0000EB1D0000}"/>
    <cellStyle name="Normal 8 4 2 4 2 2 2" xfId="16290" xr:uid="{513E408C-3C81-46EA-9250-8A1ED573728A}"/>
    <cellStyle name="Normal 8 4 2 4 2 3" xfId="12072" xr:uid="{D0AE887A-6EAD-4379-924D-630DC43815BF}"/>
    <cellStyle name="Normal 8 4 2 4 3" xfId="5695" xr:uid="{00000000-0005-0000-0000-0000EC1D0000}"/>
    <cellStyle name="Normal 8 4 2 4 3 2" xfId="14145" xr:uid="{D2AB980F-4D1B-49D3-8342-FDF50F370637}"/>
    <cellStyle name="Normal 8 4 2 4 4" xfId="9927" xr:uid="{16A85953-DEAD-4FEF-AF5C-B6FF708E1E71}"/>
    <cellStyle name="Normal 8 4 2 5" xfId="1801" xr:uid="{00000000-0005-0000-0000-0000ED1D0000}"/>
    <cellStyle name="Normal 8 4 2 5 2" xfId="4031" xr:uid="{00000000-0005-0000-0000-0000EE1D0000}"/>
    <cellStyle name="Normal 8 4 2 5 2 2" xfId="8253" xr:uid="{00000000-0005-0000-0000-0000EF1D0000}"/>
    <cellStyle name="Normal 8 4 2 5 2 2 2" xfId="16703" xr:uid="{862DB3E8-1624-4BF1-A9E7-8266408DB83C}"/>
    <cellStyle name="Normal 8 4 2 5 2 3" xfId="12485" xr:uid="{836CA796-4936-4479-B765-D0CC63402BFD}"/>
    <cellStyle name="Normal 8 4 2 5 3" xfId="6108" xr:uid="{00000000-0005-0000-0000-0000F01D0000}"/>
    <cellStyle name="Normal 8 4 2 5 3 2" xfId="14558" xr:uid="{154D8D41-108A-4603-BF52-88366FCE89FB}"/>
    <cellStyle name="Normal 8 4 2 5 4" xfId="10340" xr:uid="{CEED15B1-130E-496C-BAF2-84040E59A009}"/>
    <cellStyle name="Normal 8 4 2 6" xfId="2215" xr:uid="{00000000-0005-0000-0000-0000F11D0000}"/>
    <cellStyle name="Normal 8 4 2 6 2" xfId="4444" xr:uid="{00000000-0005-0000-0000-0000F21D0000}"/>
    <cellStyle name="Normal 8 4 2 6 2 2" xfId="8666" xr:uid="{00000000-0005-0000-0000-0000F31D0000}"/>
    <cellStyle name="Normal 8 4 2 6 2 2 2" xfId="17116" xr:uid="{790CC9F2-74DF-4A12-A370-E8CAC11BD55D}"/>
    <cellStyle name="Normal 8 4 2 6 2 3" xfId="12898" xr:uid="{DD5EB596-26D5-4274-AA2C-2C588BFF4F31}"/>
    <cellStyle name="Normal 8 4 2 6 3" xfId="6521" xr:uid="{00000000-0005-0000-0000-0000F41D0000}"/>
    <cellStyle name="Normal 8 4 2 6 3 2" xfId="14971" xr:uid="{FF17B9FE-CCA9-47F5-9FCF-61353DFB46DC}"/>
    <cellStyle name="Normal 8 4 2 6 4" xfId="10753" xr:uid="{714479D2-1AE8-44A2-9A64-5ACEF2EFA068}"/>
    <cellStyle name="Normal 8 4 2 7" xfId="2651" xr:uid="{00000000-0005-0000-0000-0000F51D0000}"/>
    <cellStyle name="Normal 8 4 2 7 2" xfId="6934" xr:uid="{00000000-0005-0000-0000-0000F61D0000}"/>
    <cellStyle name="Normal 8 4 2 7 2 2" xfId="15384" xr:uid="{62C3690B-AAD5-460F-B819-503B3B2EC663}"/>
    <cellStyle name="Normal 8 4 2 7 3" xfId="11166" xr:uid="{6F4EF22C-E700-4A11-B07E-C515669A480C}"/>
    <cellStyle name="Normal 8 4 2 8" xfId="4869" xr:uid="{00000000-0005-0000-0000-0000F71D0000}"/>
    <cellStyle name="Normal 8 4 2 8 2" xfId="13319" xr:uid="{88D381E4-EBB2-4906-A895-5C3156653C10}"/>
    <cellStyle name="Normal 8 4 2 9" xfId="9101" xr:uid="{59B81610-3EF1-41D6-912A-FA3231AEDD96}"/>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2 2 2" xfId="15879" xr:uid="{18AEDFD6-7F4E-4ACE-BFAE-3A5C0F1CA442}"/>
    <cellStyle name="Normal 8 4 3 2 2 3" xfId="11661" xr:uid="{4EDF58F9-C9B5-45C0-BEB3-4B69DD861076}"/>
    <cellStyle name="Normal 8 4 3 2 3" xfId="5284" xr:uid="{00000000-0005-0000-0000-0000FC1D0000}"/>
    <cellStyle name="Normal 8 4 3 2 3 2" xfId="13734" xr:uid="{8D3D0735-29BB-4210-879A-30D470F028DE}"/>
    <cellStyle name="Normal 8 4 3 2 4" xfId="9516" xr:uid="{6726CA7B-4D6A-4E6E-AD11-D309AEF72F6B}"/>
    <cellStyle name="Normal 8 4 3 3" xfId="1390" xr:uid="{00000000-0005-0000-0000-0000FD1D0000}"/>
    <cellStyle name="Normal 8 4 3 3 2" xfId="3620" xr:uid="{00000000-0005-0000-0000-0000FE1D0000}"/>
    <cellStyle name="Normal 8 4 3 3 2 2" xfId="7842" xr:uid="{00000000-0005-0000-0000-0000FF1D0000}"/>
    <cellStyle name="Normal 8 4 3 3 2 2 2" xfId="16292" xr:uid="{C509ED2A-F5B4-49A5-A21F-9158E30C96EC}"/>
    <cellStyle name="Normal 8 4 3 3 2 3" xfId="12074" xr:uid="{525289ED-F49F-4309-9DEA-029797F91AF3}"/>
    <cellStyle name="Normal 8 4 3 3 3" xfId="5697" xr:uid="{00000000-0005-0000-0000-0000001E0000}"/>
    <cellStyle name="Normal 8 4 3 3 3 2" xfId="14147" xr:uid="{485F11C9-E064-4F3E-98F0-81BCD9AA1AA5}"/>
    <cellStyle name="Normal 8 4 3 3 4" xfId="9929" xr:uid="{6376D9C7-124C-4B5A-88FB-0ADA719C9F7E}"/>
    <cellStyle name="Normal 8 4 3 4" xfId="1803" xr:uid="{00000000-0005-0000-0000-0000011E0000}"/>
    <cellStyle name="Normal 8 4 3 4 2" xfId="4033" xr:uid="{00000000-0005-0000-0000-0000021E0000}"/>
    <cellStyle name="Normal 8 4 3 4 2 2" xfId="8255" xr:uid="{00000000-0005-0000-0000-0000031E0000}"/>
    <cellStyle name="Normal 8 4 3 4 2 2 2" xfId="16705" xr:uid="{6999AF4E-7974-450F-916D-0F62AC273C3D}"/>
    <cellStyle name="Normal 8 4 3 4 2 3" xfId="12487" xr:uid="{0DC8AD81-3CC5-4722-8F24-16EBEBCB4429}"/>
    <cellStyle name="Normal 8 4 3 4 3" xfId="6110" xr:uid="{00000000-0005-0000-0000-0000041E0000}"/>
    <cellStyle name="Normal 8 4 3 4 3 2" xfId="14560" xr:uid="{E95E68DF-B070-4633-B7F8-E574DCF967AA}"/>
    <cellStyle name="Normal 8 4 3 4 4" xfId="10342" xr:uid="{D409CCF8-1277-46ED-913B-092E17D7FDDD}"/>
    <cellStyle name="Normal 8 4 3 5" xfId="2217" xr:uid="{00000000-0005-0000-0000-0000051E0000}"/>
    <cellStyle name="Normal 8 4 3 5 2" xfId="4446" xr:uid="{00000000-0005-0000-0000-0000061E0000}"/>
    <cellStyle name="Normal 8 4 3 5 2 2" xfId="8668" xr:uid="{00000000-0005-0000-0000-0000071E0000}"/>
    <cellStyle name="Normal 8 4 3 5 2 2 2" xfId="17118" xr:uid="{51699952-0FDF-4B26-B27D-0F4144E31454}"/>
    <cellStyle name="Normal 8 4 3 5 2 3" xfId="12900" xr:uid="{8F13BDAE-6C20-4AA5-AA1D-9B6C2A955160}"/>
    <cellStyle name="Normal 8 4 3 5 3" xfId="6523" xr:uid="{00000000-0005-0000-0000-0000081E0000}"/>
    <cellStyle name="Normal 8 4 3 5 3 2" xfId="14973" xr:uid="{6F57E4C5-AC21-4CFD-977D-B6E15061BA19}"/>
    <cellStyle name="Normal 8 4 3 5 4" xfId="10755" xr:uid="{46CAD75F-69B6-4AC2-8CD7-672D2EAAA547}"/>
    <cellStyle name="Normal 8 4 3 6" xfId="2653" xr:uid="{00000000-0005-0000-0000-0000091E0000}"/>
    <cellStyle name="Normal 8 4 3 6 2" xfId="6936" xr:uid="{00000000-0005-0000-0000-00000A1E0000}"/>
    <cellStyle name="Normal 8 4 3 6 2 2" xfId="15386" xr:uid="{81543A99-296D-41E6-B61E-950BCDB6C583}"/>
    <cellStyle name="Normal 8 4 3 6 3" xfId="11168" xr:uid="{924AA5FF-AC24-4BCC-9416-6C7F3ED31295}"/>
    <cellStyle name="Normal 8 4 3 7" xfId="4871" xr:uid="{00000000-0005-0000-0000-00000B1E0000}"/>
    <cellStyle name="Normal 8 4 3 7 2" xfId="13321" xr:uid="{43D546A3-19FC-4B0D-9578-D73D0F40DD14}"/>
    <cellStyle name="Normal 8 4 3 8" xfId="9103" xr:uid="{143914CA-CB4C-4838-9F5B-557436615730}"/>
    <cellStyle name="Normal 8 4 4" xfId="970" xr:uid="{00000000-0005-0000-0000-00000C1E0000}"/>
    <cellStyle name="Normal 8 4 4 2" xfId="3204" xr:uid="{00000000-0005-0000-0000-00000D1E0000}"/>
    <cellStyle name="Normal 8 4 4 2 2" xfId="7426" xr:uid="{00000000-0005-0000-0000-00000E1E0000}"/>
    <cellStyle name="Normal 8 4 4 2 2 2" xfId="15876" xr:uid="{FCD26F20-FFB7-43FC-9642-95341DDAD592}"/>
    <cellStyle name="Normal 8 4 4 2 3" xfId="11658" xr:uid="{BAC0917F-9529-4C84-A918-28EFFE753612}"/>
    <cellStyle name="Normal 8 4 4 3" xfId="5281" xr:uid="{00000000-0005-0000-0000-00000F1E0000}"/>
    <cellStyle name="Normal 8 4 4 3 2" xfId="13731" xr:uid="{F59550F1-FF43-4FAC-A5D2-5106A66DC523}"/>
    <cellStyle name="Normal 8 4 4 4" xfId="9513" xr:uid="{3C499247-C7BE-4751-AB85-5C1BCCDAA732}"/>
    <cellStyle name="Normal 8 4 5" xfId="1387" xr:uid="{00000000-0005-0000-0000-0000101E0000}"/>
    <cellStyle name="Normal 8 4 5 2" xfId="3617" xr:uid="{00000000-0005-0000-0000-0000111E0000}"/>
    <cellStyle name="Normal 8 4 5 2 2" xfId="7839" xr:uid="{00000000-0005-0000-0000-0000121E0000}"/>
    <cellStyle name="Normal 8 4 5 2 2 2" xfId="16289" xr:uid="{329D5574-E47B-4240-AF7F-F50DB8A9E92D}"/>
    <cellStyle name="Normal 8 4 5 2 3" xfId="12071" xr:uid="{41AFE494-933A-4E6F-9323-7C23E154D799}"/>
    <cellStyle name="Normal 8 4 5 3" xfId="5694" xr:uid="{00000000-0005-0000-0000-0000131E0000}"/>
    <cellStyle name="Normal 8 4 5 3 2" xfId="14144" xr:uid="{4227EA7A-C757-44C5-A216-9DDF5A45D7A9}"/>
    <cellStyle name="Normal 8 4 5 4" xfId="9926" xr:uid="{AD2F7022-16ED-4B8B-B9C8-595207F2492E}"/>
    <cellStyle name="Normal 8 4 6" xfId="1800" xr:uid="{00000000-0005-0000-0000-0000141E0000}"/>
    <cellStyle name="Normal 8 4 6 2" xfId="4030" xr:uid="{00000000-0005-0000-0000-0000151E0000}"/>
    <cellStyle name="Normal 8 4 6 2 2" xfId="8252" xr:uid="{00000000-0005-0000-0000-0000161E0000}"/>
    <cellStyle name="Normal 8 4 6 2 2 2" xfId="16702" xr:uid="{148CEF84-275E-45F6-BA92-26B2615843EF}"/>
    <cellStyle name="Normal 8 4 6 2 3" xfId="12484" xr:uid="{8CBB1E58-BF96-4FB2-A94F-51CDF8A2944F}"/>
    <cellStyle name="Normal 8 4 6 3" xfId="6107" xr:uid="{00000000-0005-0000-0000-0000171E0000}"/>
    <cellStyle name="Normal 8 4 6 3 2" xfId="14557" xr:uid="{09BF9780-3FBA-4ADB-B73E-1271D9CFAD34}"/>
    <cellStyle name="Normal 8 4 6 4" xfId="10339" xr:uid="{19EA8D7E-C609-4867-B2FF-486F6A820F3F}"/>
    <cellStyle name="Normal 8 4 7" xfId="2214" xr:uid="{00000000-0005-0000-0000-0000181E0000}"/>
    <cellStyle name="Normal 8 4 7 2" xfId="4443" xr:uid="{00000000-0005-0000-0000-0000191E0000}"/>
    <cellStyle name="Normal 8 4 7 2 2" xfId="8665" xr:uid="{00000000-0005-0000-0000-00001A1E0000}"/>
    <cellStyle name="Normal 8 4 7 2 2 2" xfId="17115" xr:uid="{4B52F9A8-D3A8-4E56-B1FA-9E2F5C2D3FCD}"/>
    <cellStyle name="Normal 8 4 7 2 3" xfId="12897" xr:uid="{968D06EC-A086-48FB-A4FC-AC6715F7890B}"/>
    <cellStyle name="Normal 8 4 7 3" xfId="6520" xr:uid="{00000000-0005-0000-0000-00001B1E0000}"/>
    <cellStyle name="Normal 8 4 7 3 2" xfId="14970" xr:uid="{A17F28B6-3E00-4547-B2A9-0A42ABF77EC9}"/>
    <cellStyle name="Normal 8 4 7 4" xfId="10752" xr:uid="{FF760BAA-D4AD-4CBC-B57B-0A355DBB01CB}"/>
    <cellStyle name="Normal 8 4 8" xfId="2650" xr:uid="{00000000-0005-0000-0000-00001C1E0000}"/>
    <cellStyle name="Normal 8 4 8 2" xfId="6933" xr:uid="{00000000-0005-0000-0000-00001D1E0000}"/>
    <cellStyle name="Normal 8 4 8 2 2" xfId="15383" xr:uid="{7DFAED42-9A8D-4FBB-B9BD-0D089D592FEE}"/>
    <cellStyle name="Normal 8 4 8 3" xfId="11165" xr:uid="{34230310-864C-4634-870A-7A9EE4232E7D}"/>
    <cellStyle name="Normal 8 4 9" xfId="4868" xr:uid="{00000000-0005-0000-0000-00001E1E0000}"/>
    <cellStyle name="Normal 8 4 9 2" xfId="13318" xr:uid="{3868EBCB-F307-42F2-95AF-043022430DC6}"/>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2 2 2" xfId="15881" xr:uid="{3BE8FEF0-1666-4616-841E-5B82DEF150FA}"/>
    <cellStyle name="Normal 8 5 2 2 2 3" xfId="11663" xr:uid="{3DCF5CF0-CB6A-4E68-8514-11F3D58AC426}"/>
    <cellStyle name="Normal 8 5 2 2 3" xfId="5286" xr:uid="{00000000-0005-0000-0000-0000241E0000}"/>
    <cellStyle name="Normal 8 5 2 2 3 2" xfId="13736" xr:uid="{9DF8A5AF-99C4-416B-B6A7-51E552425AC6}"/>
    <cellStyle name="Normal 8 5 2 2 4" xfId="9518" xr:uid="{1DA4EEFB-897B-4563-BFEF-5A5D37C71159}"/>
    <cellStyle name="Normal 8 5 2 3" xfId="1392" xr:uid="{00000000-0005-0000-0000-0000251E0000}"/>
    <cellStyle name="Normal 8 5 2 3 2" xfId="3622" xr:uid="{00000000-0005-0000-0000-0000261E0000}"/>
    <cellStyle name="Normal 8 5 2 3 2 2" xfId="7844" xr:uid="{00000000-0005-0000-0000-0000271E0000}"/>
    <cellStyle name="Normal 8 5 2 3 2 2 2" xfId="16294" xr:uid="{1F02F7A4-1A11-42FF-B3E0-87E0D6217E51}"/>
    <cellStyle name="Normal 8 5 2 3 2 3" xfId="12076" xr:uid="{667B874D-5B60-47E3-ADF4-0359EE39ED1B}"/>
    <cellStyle name="Normal 8 5 2 3 3" xfId="5699" xr:uid="{00000000-0005-0000-0000-0000281E0000}"/>
    <cellStyle name="Normal 8 5 2 3 3 2" xfId="14149" xr:uid="{9DB3E84C-75D2-4C41-902B-B79E3047AAE3}"/>
    <cellStyle name="Normal 8 5 2 3 4" xfId="9931" xr:uid="{104DB40D-BBCD-4F3B-8C76-D941398C6BD8}"/>
    <cellStyle name="Normal 8 5 2 4" xfId="1805" xr:uid="{00000000-0005-0000-0000-0000291E0000}"/>
    <cellStyle name="Normal 8 5 2 4 2" xfId="4035" xr:uid="{00000000-0005-0000-0000-00002A1E0000}"/>
    <cellStyle name="Normal 8 5 2 4 2 2" xfId="8257" xr:uid="{00000000-0005-0000-0000-00002B1E0000}"/>
    <cellStyle name="Normal 8 5 2 4 2 2 2" xfId="16707" xr:uid="{2B66B221-6039-4710-B96D-1CDD546B8ECB}"/>
    <cellStyle name="Normal 8 5 2 4 2 3" xfId="12489" xr:uid="{F2BBB36D-CBFD-458B-AA8D-9EA8E2479854}"/>
    <cellStyle name="Normal 8 5 2 4 3" xfId="6112" xr:uid="{00000000-0005-0000-0000-00002C1E0000}"/>
    <cellStyle name="Normal 8 5 2 4 3 2" xfId="14562" xr:uid="{62C9CFA0-E33C-4F19-A579-316A5D258ED7}"/>
    <cellStyle name="Normal 8 5 2 4 4" xfId="10344" xr:uid="{0A21524B-020C-4C9C-97BA-9457ED58FF9E}"/>
    <cellStyle name="Normal 8 5 2 5" xfId="2219" xr:uid="{00000000-0005-0000-0000-00002D1E0000}"/>
    <cellStyle name="Normal 8 5 2 5 2" xfId="4448" xr:uid="{00000000-0005-0000-0000-00002E1E0000}"/>
    <cellStyle name="Normal 8 5 2 5 2 2" xfId="8670" xr:uid="{00000000-0005-0000-0000-00002F1E0000}"/>
    <cellStyle name="Normal 8 5 2 5 2 2 2" xfId="17120" xr:uid="{8CEBBAF8-2869-4F2B-B2F3-359516336202}"/>
    <cellStyle name="Normal 8 5 2 5 2 3" xfId="12902" xr:uid="{589075BF-1EF9-4CD0-8B7E-505E81EBA004}"/>
    <cellStyle name="Normal 8 5 2 5 3" xfId="6525" xr:uid="{00000000-0005-0000-0000-0000301E0000}"/>
    <cellStyle name="Normal 8 5 2 5 3 2" xfId="14975" xr:uid="{4F3C0D54-0D72-4E7E-9819-2BE4BFB9BE01}"/>
    <cellStyle name="Normal 8 5 2 5 4" xfId="10757" xr:uid="{640DAEDA-CD9F-4DB8-B4A8-DF97CC8462DB}"/>
    <cellStyle name="Normal 8 5 2 6" xfId="2655" xr:uid="{00000000-0005-0000-0000-0000311E0000}"/>
    <cellStyle name="Normal 8 5 2 6 2" xfId="6938" xr:uid="{00000000-0005-0000-0000-0000321E0000}"/>
    <cellStyle name="Normal 8 5 2 6 2 2" xfId="15388" xr:uid="{F2679131-7432-415B-9E30-2B4EF4D56A9F}"/>
    <cellStyle name="Normal 8 5 2 6 3" xfId="11170" xr:uid="{6A9826F3-3B62-41A7-BCC0-FEFEF4994D7E}"/>
    <cellStyle name="Normal 8 5 2 7" xfId="4873" xr:uid="{00000000-0005-0000-0000-0000331E0000}"/>
    <cellStyle name="Normal 8 5 2 7 2" xfId="13323" xr:uid="{9392685B-2D65-4870-9544-7D0F151CBD4E}"/>
    <cellStyle name="Normal 8 5 2 8" xfId="9105" xr:uid="{D6E25CE8-2F6E-416D-9E80-B03ED0999F3C}"/>
    <cellStyle name="Normal 8 5 3" xfId="974" xr:uid="{00000000-0005-0000-0000-0000341E0000}"/>
    <cellStyle name="Normal 8 5 3 2" xfId="3208" xr:uid="{00000000-0005-0000-0000-0000351E0000}"/>
    <cellStyle name="Normal 8 5 3 2 2" xfId="7430" xr:uid="{00000000-0005-0000-0000-0000361E0000}"/>
    <cellStyle name="Normal 8 5 3 2 2 2" xfId="15880" xr:uid="{7B111935-78D2-41FC-BAAD-07EE36A492DE}"/>
    <cellStyle name="Normal 8 5 3 2 3" xfId="11662" xr:uid="{B07230AD-40A1-48D5-B6FD-97DE93A4B0EC}"/>
    <cellStyle name="Normal 8 5 3 3" xfId="5285" xr:uid="{00000000-0005-0000-0000-0000371E0000}"/>
    <cellStyle name="Normal 8 5 3 3 2" xfId="13735" xr:uid="{8D077AB0-2AB4-4083-BA51-9AB50E26EDB2}"/>
    <cellStyle name="Normal 8 5 3 4" xfId="9517" xr:uid="{7934C2B3-5729-4BBD-AC43-AFAD78DD6AB3}"/>
    <cellStyle name="Normal 8 5 4" xfId="1391" xr:uid="{00000000-0005-0000-0000-0000381E0000}"/>
    <cellStyle name="Normal 8 5 4 2" xfId="3621" xr:uid="{00000000-0005-0000-0000-0000391E0000}"/>
    <cellStyle name="Normal 8 5 4 2 2" xfId="7843" xr:uid="{00000000-0005-0000-0000-00003A1E0000}"/>
    <cellStyle name="Normal 8 5 4 2 2 2" xfId="16293" xr:uid="{97E6416A-7595-45D3-BCF9-E6F2D7AB28CB}"/>
    <cellStyle name="Normal 8 5 4 2 3" xfId="12075" xr:uid="{095CB885-790A-4B99-AE0D-3C1676522CF2}"/>
    <cellStyle name="Normal 8 5 4 3" xfId="5698" xr:uid="{00000000-0005-0000-0000-00003B1E0000}"/>
    <cellStyle name="Normal 8 5 4 3 2" xfId="14148" xr:uid="{67DF6CFC-BFD2-4A89-A00D-A383C325C124}"/>
    <cellStyle name="Normal 8 5 4 4" xfId="9930" xr:uid="{5B26708F-0FEE-4D49-A8D4-72B211B59E4D}"/>
    <cellStyle name="Normal 8 5 5" xfId="1804" xr:uid="{00000000-0005-0000-0000-00003C1E0000}"/>
    <cellStyle name="Normal 8 5 5 2" xfId="4034" xr:uid="{00000000-0005-0000-0000-00003D1E0000}"/>
    <cellStyle name="Normal 8 5 5 2 2" xfId="8256" xr:uid="{00000000-0005-0000-0000-00003E1E0000}"/>
    <cellStyle name="Normal 8 5 5 2 2 2" xfId="16706" xr:uid="{B2D48115-3A6A-49E8-A96F-235275CE2488}"/>
    <cellStyle name="Normal 8 5 5 2 3" xfId="12488" xr:uid="{AEF30135-D75D-42A3-928F-0ABE9B664A73}"/>
    <cellStyle name="Normal 8 5 5 3" xfId="6111" xr:uid="{00000000-0005-0000-0000-00003F1E0000}"/>
    <cellStyle name="Normal 8 5 5 3 2" xfId="14561" xr:uid="{14760DF8-E365-457A-8D58-DABF5828A1EB}"/>
    <cellStyle name="Normal 8 5 5 4" xfId="10343" xr:uid="{9B3A4218-008A-4696-BF5D-B3629D7C1EA7}"/>
    <cellStyle name="Normal 8 5 6" xfId="2218" xr:uid="{00000000-0005-0000-0000-0000401E0000}"/>
    <cellStyle name="Normal 8 5 6 2" xfId="4447" xr:uid="{00000000-0005-0000-0000-0000411E0000}"/>
    <cellStyle name="Normal 8 5 6 2 2" xfId="8669" xr:uid="{00000000-0005-0000-0000-0000421E0000}"/>
    <cellStyle name="Normal 8 5 6 2 2 2" xfId="17119" xr:uid="{3D3C5F4B-3DF7-4ADA-B4C3-8A4116BA8D43}"/>
    <cellStyle name="Normal 8 5 6 2 3" xfId="12901" xr:uid="{045F2207-D0D5-453F-91DA-C06F213B1A9E}"/>
    <cellStyle name="Normal 8 5 6 3" xfId="6524" xr:uid="{00000000-0005-0000-0000-0000431E0000}"/>
    <cellStyle name="Normal 8 5 6 3 2" xfId="14974" xr:uid="{70F3A81F-DAAE-4878-AB81-7E73C65E32E0}"/>
    <cellStyle name="Normal 8 5 6 4" xfId="10756" xr:uid="{E450A83B-E3CB-404D-8275-4FEE04A776F3}"/>
    <cellStyle name="Normal 8 5 7" xfId="2654" xr:uid="{00000000-0005-0000-0000-0000441E0000}"/>
    <cellStyle name="Normal 8 5 7 2" xfId="6937" xr:uid="{00000000-0005-0000-0000-0000451E0000}"/>
    <cellStyle name="Normal 8 5 7 2 2" xfId="15387" xr:uid="{ED4326D5-C441-45D0-8F30-2500140CE9F5}"/>
    <cellStyle name="Normal 8 5 7 3" xfId="11169" xr:uid="{ABCCCCA9-07E7-4C08-BEDC-C6C1BA12F024}"/>
    <cellStyle name="Normal 8 5 8" xfId="4872" xr:uid="{00000000-0005-0000-0000-0000461E0000}"/>
    <cellStyle name="Normal 8 5 8 2" xfId="13322" xr:uid="{D08E4F80-0CE0-44E4-BDE3-783D9F0176E3}"/>
    <cellStyle name="Normal 8 5 9" xfId="9104" xr:uid="{2B63A002-394D-493D-8EF8-291D502A3CEC}"/>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2 2 2" xfId="15882" xr:uid="{6A405BAE-C101-42A7-9EEA-DF7242EC5654}"/>
    <cellStyle name="Normal 8 6 2 2 3" xfId="11664" xr:uid="{F34E386D-DA34-446E-98DE-9E34EDF96BC4}"/>
    <cellStyle name="Normal 8 6 2 3" xfId="5287" xr:uid="{00000000-0005-0000-0000-00004B1E0000}"/>
    <cellStyle name="Normal 8 6 2 3 2" xfId="13737" xr:uid="{B5081961-46B2-448C-8A98-CFE09CDBA5E1}"/>
    <cellStyle name="Normal 8 6 2 4" xfId="9519" xr:uid="{98471F94-9BD5-4D44-98E9-832DBDE13B72}"/>
    <cellStyle name="Normal 8 6 3" xfId="1393" xr:uid="{00000000-0005-0000-0000-00004C1E0000}"/>
    <cellStyle name="Normal 8 6 3 2" xfId="3623" xr:uid="{00000000-0005-0000-0000-00004D1E0000}"/>
    <cellStyle name="Normal 8 6 3 2 2" xfId="7845" xr:uid="{00000000-0005-0000-0000-00004E1E0000}"/>
    <cellStyle name="Normal 8 6 3 2 2 2" xfId="16295" xr:uid="{78B169BE-BF6A-4A60-9325-596F7E51BA4E}"/>
    <cellStyle name="Normal 8 6 3 2 3" xfId="12077" xr:uid="{7843B14A-2D84-4B46-8707-CA571C523BBD}"/>
    <cellStyle name="Normal 8 6 3 3" xfId="5700" xr:uid="{00000000-0005-0000-0000-00004F1E0000}"/>
    <cellStyle name="Normal 8 6 3 3 2" xfId="14150" xr:uid="{F1C19235-B73A-4AF0-8FC6-5374CC709E4E}"/>
    <cellStyle name="Normal 8 6 3 4" xfId="9932" xr:uid="{8433EF3F-3160-4F40-A8B0-1922D38D6D20}"/>
    <cellStyle name="Normal 8 6 4" xfId="1806" xr:uid="{00000000-0005-0000-0000-0000501E0000}"/>
    <cellStyle name="Normal 8 6 4 2" xfId="4036" xr:uid="{00000000-0005-0000-0000-0000511E0000}"/>
    <cellStyle name="Normal 8 6 4 2 2" xfId="8258" xr:uid="{00000000-0005-0000-0000-0000521E0000}"/>
    <cellStyle name="Normal 8 6 4 2 2 2" xfId="16708" xr:uid="{E56D76BA-3E62-4FCB-8B64-B0F02D8F216A}"/>
    <cellStyle name="Normal 8 6 4 2 3" xfId="12490" xr:uid="{608D18D4-2459-4F0A-9FF0-E1F3D867156A}"/>
    <cellStyle name="Normal 8 6 4 3" xfId="6113" xr:uid="{00000000-0005-0000-0000-0000531E0000}"/>
    <cellStyle name="Normal 8 6 4 3 2" xfId="14563" xr:uid="{34D92F2C-9499-4AD3-8195-74FBA9BD20C3}"/>
    <cellStyle name="Normal 8 6 4 4" xfId="10345" xr:uid="{25003A94-7893-4C02-9AE5-9C2366262251}"/>
    <cellStyle name="Normal 8 6 5" xfId="2220" xr:uid="{00000000-0005-0000-0000-0000541E0000}"/>
    <cellStyle name="Normal 8 6 5 2" xfId="4449" xr:uid="{00000000-0005-0000-0000-0000551E0000}"/>
    <cellStyle name="Normal 8 6 5 2 2" xfId="8671" xr:uid="{00000000-0005-0000-0000-0000561E0000}"/>
    <cellStyle name="Normal 8 6 5 2 2 2" xfId="17121" xr:uid="{07AC66A6-AE13-409A-A3EA-59346E3BC50C}"/>
    <cellStyle name="Normal 8 6 5 2 3" xfId="12903" xr:uid="{C55239A9-B95B-41B1-A494-D7D79674C927}"/>
    <cellStyle name="Normal 8 6 5 3" xfId="6526" xr:uid="{00000000-0005-0000-0000-0000571E0000}"/>
    <cellStyle name="Normal 8 6 5 3 2" xfId="14976" xr:uid="{C89B10CB-2BA4-4847-8FB8-E34DF4DD003E}"/>
    <cellStyle name="Normal 8 6 5 4" xfId="10758" xr:uid="{C1974715-B0D0-40CE-B140-3FCB09A4DDCA}"/>
    <cellStyle name="Normal 8 6 6" xfId="2656" xr:uid="{00000000-0005-0000-0000-0000581E0000}"/>
    <cellStyle name="Normal 8 6 6 2" xfId="6939" xr:uid="{00000000-0005-0000-0000-0000591E0000}"/>
    <cellStyle name="Normal 8 6 6 2 2" xfId="15389" xr:uid="{FC2B54FD-D331-486F-9C64-4196C92237CC}"/>
    <cellStyle name="Normal 8 6 6 3" xfId="11171" xr:uid="{8A9B83FD-9440-4151-ACEF-C56E96818E0A}"/>
    <cellStyle name="Normal 8 6 7" xfId="4874" xr:uid="{00000000-0005-0000-0000-00005A1E0000}"/>
    <cellStyle name="Normal 8 6 7 2" xfId="13324" xr:uid="{E82AB518-F2F8-4C72-BB2F-7A2AC5EA795B}"/>
    <cellStyle name="Normal 8 6 8" xfId="9106" xr:uid="{8B8E881C-FC8E-4F69-8734-5C8527AF34A2}"/>
    <cellStyle name="Normal 8 7" xfId="945" xr:uid="{00000000-0005-0000-0000-00005B1E0000}"/>
    <cellStyle name="Normal 8 7 2" xfId="3179" xr:uid="{00000000-0005-0000-0000-00005C1E0000}"/>
    <cellStyle name="Normal 8 7 2 2" xfId="7401" xr:uid="{00000000-0005-0000-0000-00005D1E0000}"/>
    <cellStyle name="Normal 8 7 2 2 2" xfId="15851" xr:uid="{38AAC41B-4DCC-472D-AD18-A24000EB8A2A}"/>
    <cellStyle name="Normal 8 7 2 3" xfId="11633" xr:uid="{12D54F7C-BACD-43BC-B84E-A4E217158E53}"/>
    <cellStyle name="Normal 8 7 3" xfId="5256" xr:uid="{00000000-0005-0000-0000-00005E1E0000}"/>
    <cellStyle name="Normal 8 7 3 2" xfId="13706" xr:uid="{AA248F24-73DC-4209-99B0-F666913DBB09}"/>
    <cellStyle name="Normal 8 7 4" xfId="9488" xr:uid="{7B7905E1-D9B4-45AA-9167-D76B8B1490C0}"/>
    <cellStyle name="Normal 8 8" xfId="1362" xr:uid="{00000000-0005-0000-0000-00005F1E0000}"/>
    <cellStyle name="Normal 8 8 2" xfId="3592" xr:uid="{00000000-0005-0000-0000-0000601E0000}"/>
    <cellStyle name="Normal 8 8 2 2" xfId="7814" xr:uid="{00000000-0005-0000-0000-0000611E0000}"/>
    <cellStyle name="Normal 8 8 2 2 2" xfId="16264" xr:uid="{C97DE9D3-9E72-41D0-B300-9843E7ADBDC5}"/>
    <cellStyle name="Normal 8 8 2 3" xfId="12046" xr:uid="{083C3D7E-0EC6-4293-BD6B-3DA9A9967BEF}"/>
    <cellStyle name="Normal 8 8 3" xfId="5669" xr:uid="{00000000-0005-0000-0000-0000621E0000}"/>
    <cellStyle name="Normal 8 8 3 2" xfId="14119" xr:uid="{18287FFB-B2E6-44C4-97AD-7BA7A6982852}"/>
    <cellStyle name="Normal 8 8 4" xfId="9901" xr:uid="{D5CFE6B5-0FAD-46C0-8126-9C9808612BD9}"/>
    <cellStyle name="Normal 8 9" xfId="1775" xr:uid="{00000000-0005-0000-0000-0000631E0000}"/>
    <cellStyle name="Normal 8 9 2" xfId="4005" xr:uid="{00000000-0005-0000-0000-0000641E0000}"/>
    <cellStyle name="Normal 8 9 2 2" xfId="8227" xr:uid="{00000000-0005-0000-0000-0000651E0000}"/>
    <cellStyle name="Normal 8 9 2 2 2" xfId="16677" xr:uid="{AAD65BF4-31CF-4F61-AD2F-703BEE34FEA7}"/>
    <cellStyle name="Normal 8 9 2 3" xfId="12459" xr:uid="{2D775662-9D0D-423F-A377-25A5F9FD9594}"/>
    <cellStyle name="Normal 8 9 3" xfId="6082" xr:uid="{00000000-0005-0000-0000-0000661E0000}"/>
    <cellStyle name="Normal 8 9 3 2" xfId="14532" xr:uid="{2EE559FE-4D8E-435A-B71B-08210C80FCE5}"/>
    <cellStyle name="Normal 8 9 4" xfId="10314" xr:uid="{3E94420B-D173-4654-9D85-E31B9244E275}"/>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0 2 2" xfId="15390" xr:uid="{B39E6334-4C8F-4D82-9A8D-624E3CB8F4DE}"/>
    <cellStyle name="Normal 9 2 10 3" xfId="11172" xr:uid="{18FEC068-0484-424B-A329-70E88AFD9422}"/>
    <cellStyle name="Normal 9 2 11" xfId="4875" xr:uid="{00000000-0005-0000-0000-00006B1E0000}"/>
    <cellStyle name="Normal 9 2 11 2" xfId="13325" xr:uid="{060E6D9C-2BCB-46A9-9860-D49D135491C2}"/>
    <cellStyle name="Normal 9 2 12" xfId="9107" xr:uid="{7BACA93C-9FFB-4C2A-B240-A00D6485951D}"/>
    <cellStyle name="Normal 9 2 2" xfId="512" xr:uid="{00000000-0005-0000-0000-00006C1E0000}"/>
    <cellStyle name="Normal 9 2 2 10" xfId="4876" xr:uid="{00000000-0005-0000-0000-00006D1E0000}"/>
    <cellStyle name="Normal 9 2 2 10 2" xfId="13326" xr:uid="{38027944-CB38-490F-BFAB-8EF8F1E575D6}"/>
    <cellStyle name="Normal 9 2 2 11" xfId="9108" xr:uid="{98BD06DA-768F-4BC5-A610-37215D0DBC50}"/>
    <cellStyle name="Normal 9 2 2 2" xfId="513" xr:uid="{00000000-0005-0000-0000-00006E1E0000}"/>
    <cellStyle name="Normal 9 2 2 2 10" xfId="9109" xr:uid="{E55B0E53-0532-4776-BFB6-8F686F6E211A}"/>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2 2 2" xfId="15887" xr:uid="{28E13A92-F8C7-4BA2-9808-BD7440F0D03E}"/>
    <cellStyle name="Normal 9 2 2 2 2 2 2 2 3" xfId="11669" xr:uid="{1C0CFC77-23A8-4596-955E-3B2D31830944}"/>
    <cellStyle name="Normal 9 2 2 2 2 2 2 3" xfId="5292" xr:uid="{00000000-0005-0000-0000-0000741E0000}"/>
    <cellStyle name="Normal 9 2 2 2 2 2 2 3 2" xfId="13742" xr:uid="{9D107F50-4DE8-453F-9806-1F676D9D6EFD}"/>
    <cellStyle name="Normal 9 2 2 2 2 2 2 4" xfId="9524" xr:uid="{947D8660-9338-4916-B63E-1CAA8B4C1FC9}"/>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2 2 2" xfId="16300" xr:uid="{99F9E814-157F-40F5-85D5-D727A97434A6}"/>
    <cellStyle name="Normal 9 2 2 2 2 2 3 2 3" xfId="12082" xr:uid="{310F9187-CCC3-45EE-93F2-F7901452457F}"/>
    <cellStyle name="Normal 9 2 2 2 2 2 3 3" xfId="5705" xr:uid="{00000000-0005-0000-0000-0000781E0000}"/>
    <cellStyle name="Normal 9 2 2 2 2 2 3 3 2" xfId="14155" xr:uid="{F9DF5CEF-51EC-4C57-915C-92F88A6E9278}"/>
    <cellStyle name="Normal 9 2 2 2 2 2 3 4" xfId="9937" xr:uid="{112BA64F-F9A0-41DB-8F9D-26E5B39A573A}"/>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2 2 2" xfId="16713" xr:uid="{CC3FFA6F-A6BA-4220-A759-83260B40C0A3}"/>
    <cellStyle name="Normal 9 2 2 2 2 2 4 2 3" xfId="12495" xr:uid="{CDE18AEE-8480-4947-8014-37A0A4835CD6}"/>
    <cellStyle name="Normal 9 2 2 2 2 2 4 3" xfId="6118" xr:uid="{00000000-0005-0000-0000-00007C1E0000}"/>
    <cellStyle name="Normal 9 2 2 2 2 2 4 3 2" xfId="14568" xr:uid="{D68E29A7-7920-4B71-915B-1466200D6D89}"/>
    <cellStyle name="Normal 9 2 2 2 2 2 4 4" xfId="10350" xr:uid="{25732445-31C4-45AB-8100-72BD545BB67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2 2 2" xfId="17126" xr:uid="{A90351B6-AE5D-4EF0-8986-481E2F779DAB}"/>
    <cellStyle name="Normal 9 2 2 2 2 2 5 2 3" xfId="12908" xr:uid="{EA64E8A9-21D2-4E18-A952-F3F5C23CCEA0}"/>
    <cellStyle name="Normal 9 2 2 2 2 2 5 3" xfId="6531" xr:uid="{00000000-0005-0000-0000-0000801E0000}"/>
    <cellStyle name="Normal 9 2 2 2 2 2 5 3 2" xfId="14981" xr:uid="{85A0694A-1350-4033-BD24-93E0F416C409}"/>
    <cellStyle name="Normal 9 2 2 2 2 2 5 4" xfId="10763" xr:uid="{DB6CCAB8-C6DD-4567-ACD6-0DB1EB18D536}"/>
    <cellStyle name="Normal 9 2 2 2 2 2 6" xfId="2661" xr:uid="{00000000-0005-0000-0000-0000811E0000}"/>
    <cellStyle name="Normal 9 2 2 2 2 2 6 2" xfId="6944" xr:uid="{00000000-0005-0000-0000-0000821E0000}"/>
    <cellStyle name="Normal 9 2 2 2 2 2 6 2 2" xfId="15394" xr:uid="{375A5029-E37E-49E9-A710-3AF7256FB77B}"/>
    <cellStyle name="Normal 9 2 2 2 2 2 6 3" xfId="11176" xr:uid="{820FDD81-B672-47A4-9A16-F2225717BC82}"/>
    <cellStyle name="Normal 9 2 2 2 2 2 7" xfId="4879" xr:uid="{00000000-0005-0000-0000-0000831E0000}"/>
    <cellStyle name="Normal 9 2 2 2 2 2 7 2" xfId="13329" xr:uid="{56B0EB2A-19B9-475E-BF8A-24BF89217EBE}"/>
    <cellStyle name="Normal 9 2 2 2 2 2 8" xfId="9111" xr:uid="{7BCAC8AA-4736-42D1-A53E-181CF2324F12}"/>
    <cellStyle name="Normal 9 2 2 2 2 3" xfId="981" xr:uid="{00000000-0005-0000-0000-0000841E0000}"/>
    <cellStyle name="Normal 9 2 2 2 2 3 2" xfId="3214" xr:uid="{00000000-0005-0000-0000-0000851E0000}"/>
    <cellStyle name="Normal 9 2 2 2 2 3 2 2" xfId="7436" xr:uid="{00000000-0005-0000-0000-0000861E0000}"/>
    <cellStyle name="Normal 9 2 2 2 2 3 2 2 2" xfId="15886" xr:uid="{1571A747-6753-4D94-9D2F-E32B830B3B9E}"/>
    <cellStyle name="Normal 9 2 2 2 2 3 2 3" xfId="11668" xr:uid="{AF08CE33-F90E-4903-8611-ACB9743AE11B}"/>
    <cellStyle name="Normal 9 2 2 2 2 3 3" xfId="5291" xr:uid="{00000000-0005-0000-0000-0000871E0000}"/>
    <cellStyle name="Normal 9 2 2 2 2 3 3 2" xfId="13741" xr:uid="{AD5A3583-0934-4B27-A0DB-8AB5CA48387D}"/>
    <cellStyle name="Normal 9 2 2 2 2 3 4" xfId="9523" xr:uid="{C262A86B-00E4-4335-86D7-8B0FD474BCCC}"/>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2 2 2" xfId="16299" xr:uid="{E18C976E-97C7-4793-B535-414849BDD6D4}"/>
    <cellStyle name="Normal 9 2 2 2 2 4 2 3" xfId="12081" xr:uid="{B4D3FE50-F1AF-43A0-A767-3E12CF11EFE8}"/>
    <cellStyle name="Normal 9 2 2 2 2 4 3" xfId="5704" xr:uid="{00000000-0005-0000-0000-00008B1E0000}"/>
    <cellStyle name="Normal 9 2 2 2 2 4 3 2" xfId="14154" xr:uid="{4B0F09DA-76F2-4ED9-88D5-A8F524A79347}"/>
    <cellStyle name="Normal 9 2 2 2 2 4 4" xfId="9936" xr:uid="{1BF0CB90-58C2-4BAE-A51D-44AFB29ABCEE}"/>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2 2 2" xfId="16712" xr:uid="{2B0D04AE-31AC-427F-9D93-808EADF018AD}"/>
    <cellStyle name="Normal 9 2 2 2 2 5 2 3" xfId="12494" xr:uid="{2C852CFC-4F26-4212-972A-484D9D24F581}"/>
    <cellStyle name="Normal 9 2 2 2 2 5 3" xfId="6117" xr:uid="{00000000-0005-0000-0000-00008F1E0000}"/>
    <cellStyle name="Normal 9 2 2 2 2 5 3 2" xfId="14567" xr:uid="{A67BE601-3DE8-4033-9D2C-007CA76BE48C}"/>
    <cellStyle name="Normal 9 2 2 2 2 5 4" xfId="10349" xr:uid="{1ED3AED0-84E1-408E-BDC4-C357D9498049}"/>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2 2 2" xfId="17125" xr:uid="{0E19E3AD-BA92-4813-9DFE-952A5A5D5B9E}"/>
    <cellStyle name="Normal 9 2 2 2 2 6 2 3" xfId="12907" xr:uid="{DECEDF21-364F-486A-9BEC-AD88F55C42AB}"/>
    <cellStyle name="Normal 9 2 2 2 2 6 3" xfId="6530" xr:uid="{00000000-0005-0000-0000-0000931E0000}"/>
    <cellStyle name="Normal 9 2 2 2 2 6 3 2" xfId="14980" xr:uid="{EBF37B0C-88DC-4A4B-90D1-B4138460C0F5}"/>
    <cellStyle name="Normal 9 2 2 2 2 6 4" xfId="10762" xr:uid="{604D1902-087C-44C0-B7B3-61076B7F98F1}"/>
    <cellStyle name="Normal 9 2 2 2 2 7" xfId="2660" xr:uid="{00000000-0005-0000-0000-0000941E0000}"/>
    <cellStyle name="Normal 9 2 2 2 2 7 2" xfId="6943" xr:uid="{00000000-0005-0000-0000-0000951E0000}"/>
    <cellStyle name="Normal 9 2 2 2 2 7 2 2" xfId="15393" xr:uid="{FB349D9B-120F-4F6E-A972-875D87B3D284}"/>
    <cellStyle name="Normal 9 2 2 2 2 7 3" xfId="11175" xr:uid="{744B0EFB-4EC0-4005-9BF1-890B10DEF399}"/>
    <cellStyle name="Normal 9 2 2 2 2 8" xfId="4878" xr:uid="{00000000-0005-0000-0000-0000961E0000}"/>
    <cellStyle name="Normal 9 2 2 2 2 8 2" xfId="13328" xr:uid="{302C0E62-45BA-4166-BCA7-A41FEAF48E46}"/>
    <cellStyle name="Normal 9 2 2 2 2 9" xfId="9110" xr:uid="{3BAF4675-69B3-4ACA-851A-461B10856A13}"/>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2 2 2" xfId="15888" xr:uid="{9ED72B42-7BE8-4774-BB14-889E7237C89A}"/>
    <cellStyle name="Normal 9 2 2 2 3 2 2 3" xfId="11670" xr:uid="{EE59C65B-8D49-44E9-AB67-090E25093903}"/>
    <cellStyle name="Normal 9 2 2 2 3 2 3" xfId="5293" xr:uid="{00000000-0005-0000-0000-00009B1E0000}"/>
    <cellStyle name="Normal 9 2 2 2 3 2 3 2" xfId="13743" xr:uid="{ACF8C8B3-1D60-4ED8-AEC1-53D00558547D}"/>
    <cellStyle name="Normal 9 2 2 2 3 2 4" xfId="9525" xr:uid="{02448429-F5A5-4D9D-9E28-3DAE7C38EF51}"/>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2 2 2" xfId="16301" xr:uid="{2BAE620F-DB07-466B-993F-581B3109C4C1}"/>
    <cellStyle name="Normal 9 2 2 2 3 3 2 3" xfId="12083" xr:uid="{4908C8D9-2156-4449-BE11-1FB373B14433}"/>
    <cellStyle name="Normal 9 2 2 2 3 3 3" xfId="5706" xr:uid="{00000000-0005-0000-0000-00009F1E0000}"/>
    <cellStyle name="Normal 9 2 2 2 3 3 3 2" xfId="14156" xr:uid="{7ED414DE-5811-4A7F-83C3-BA397F021643}"/>
    <cellStyle name="Normal 9 2 2 2 3 3 4" xfId="9938" xr:uid="{022D91BD-832C-47BF-B05E-974133F9526B}"/>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2 2 2" xfId="16714" xr:uid="{9DF592F6-3C7C-4596-8F93-4E86EA0D4F73}"/>
    <cellStyle name="Normal 9 2 2 2 3 4 2 3" xfId="12496" xr:uid="{463EBE03-2936-4848-A541-13F16CD0E46A}"/>
    <cellStyle name="Normal 9 2 2 2 3 4 3" xfId="6119" xr:uid="{00000000-0005-0000-0000-0000A31E0000}"/>
    <cellStyle name="Normal 9 2 2 2 3 4 3 2" xfId="14569" xr:uid="{EFEAE763-C5CC-4AD4-9336-1EA6504BC6F7}"/>
    <cellStyle name="Normal 9 2 2 2 3 4 4" xfId="10351" xr:uid="{D1534B8F-A84B-4F6E-B6BF-9B41FC806353}"/>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2 2 2" xfId="17127" xr:uid="{D305DEE9-4E6B-4258-B49D-89F8A400B848}"/>
    <cellStyle name="Normal 9 2 2 2 3 5 2 3" xfId="12909" xr:uid="{EA28FD28-2BBE-421C-B636-FB1067428D8C}"/>
    <cellStyle name="Normal 9 2 2 2 3 5 3" xfId="6532" xr:uid="{00000000-0005-0000-0000-0000A71E0000}"/>
    <cellStyle name="Normal 9 2 2 2 3 5 3 2" xfId="14982" xr:uid="{4915237F-E4F9-468C-A82A-07F3D5FDF36B}"/>
    <cellStyle name="Normal 9 2 2 2 3 5 4" xfId="10764" xr:uid="{0F031B10-7958-4C14-ADE6-D168C65E084F}"/>
    <cellStyle name="Normal 9 2 2 2 3 6" xfId="2662" xr:uid="{00000000-0005-0000-0000-0000A81E0000}"/>
    <cellStyle name="Normal 9 2 2 2 3 6 2" xfId="6945" xr:uid="{00000000-0005-0000-0000-0000A91E0000}"/>
    <cellStyle name="Normal 9 2 2 2 3 6 2 2" xfId="15395" xr:uid="{1B4D329C-50BE-4C4E-86E2-E945A1C3C797}"/>
    <cellStyle name="Normal 9 2 2 2 3 6 3" xfId="11177" xr:uid="{F7CC2839-2FBB-4BAD-B217-7969AE2631DD}"/>
    <cellStyle name="Normal 9 2 2 2 3 7" xfId="4880" xr:uid="{00000000-0005-0000-0000-0000AA1E0000}"/>
    <cellStyle name="Normal 9 2 2 2 3 7 2" xfId="13330" xr:uid="{EF98815A-55CE-4A65-AC6A-4472288BE8FC}"/>
    <cellStyle name="Normal 9 2 2 2 3 8" xfId="9112" xr:uid="{32B9FD89-9887-4D14-83A3-2DE2A916A531}"/>
    <cellStyle name="Normal 9 2 2 2 4" xfId="980" xr:uid="{00000000-0005-0000-0000-0000AB1E0000}"/>
    <cellStyle name="Normal 9 2 2 2 4 2" xfId="3213" xr:uid="{00000000-0005-0000-0000-0000AC1E0000}"/>
    <cellStyle name="Normal 9 2 2 2 4 2 2" xfId="7435" xr:uid="{00000000-0005-0000-0000-0000AD1E0000}"/>
    <cellStyle name="Normal 9 2 2 2 4 2 2 2" xfId="15885" xr:uid="{BFA2C090-B9B6-461D-9D9D-89EE9AEF7437}"/>
    <cellStyle name="Normal 9 2 2 2 4 2 3" xfId="11667" xr:uid="{3744BD92-6F84-4703-91CB-76BE4F7A1F99}"/>
    <cellStyle name="Normal 9 2 2 2 4 3" xfId="5290" xr:uid="{00000000-0005-0000-0000-0000AE1E0000}"/>
    <cellStyle name="Normal 9 2 2 2 4 3 2" xfId="13740" xr:uid="{60D229A8-87F5-4BEB-AE00-7D2A74B9B0C0}"/>
    <cellStyle name="Normal 9 2 2 2 4 4" xfId="9522" xr:uid="{B00F9D1F-3ED5-41E9-BAEF-D2763CBC29D0}"/>
    <cellStyle name="Normal 9 2 2 2 5" xfId="1396" xr:uid="{00000000-0005-0000-0000-0000AF1E0000}"/>
    <cellStyle name="Normal 9 2 2 2 5 2" xfId="3626" xr:uid="{00000000-0005-0000-0000-0000B01E0000}"/>
    <cellStyle name="Normal 9 2 2 2 5 2 2" xfId="7848" xr:uid="{00000000-0005-0000-0000-0000B11E0000}"/>
    <cellStyle name="Normal 9 2 2 2 5 2 2 2" xfId="16298" xr:uid="{E8D95617-D3EC-42A9-8AB4-50C5768A9A1D}"/>
    <cellStyle name="Normal 9 2 2 2 5 2 3" xfId="12080" xr:uid="{55D52AD4-802C-4041-A811-FE26F7954172}"/>
    <cellStyle name="Normal 9 2 2 2 5 3" xfId="5703" xr:uid="{00000000-0005-0000-0000-0000B21E0000}"/>
    <cellStyle name="Normal 9 2 2 2 5 3 2" xfId="14153" xr:uid="{7065F11F-00F9-4CD7-961C-667BE45B8FA2}"/>
    <cellStyle name="Normal 9 2 2 2 5 4" xfId="9935" xr:uid="{9FB18E87-F7E9-4145-B1FA-A9A44CE739E8}"/>
    <cellStyle name="Normal 9 2 2 2 6" xfId="1809" xr:uid="{00000000-0005-0000-0000-0000B31E0000}"/>
    <cellStyle name="Normal 9 2 2 2 6 2" xfId="4039" xr:uid="{00000000-0005-0000-0000-0000B41E0000}"/>
    <cellStyle name="Normal 9 2 2 2 6 2 2" xfId="8261" xr:uid="{00000000-0005-0000-0000-0000B51E0000}"/>
    <cellStyle name="Normal 9 2 2 2 6 2 2 2" xfId="16711" xr:uid="{9372EF27-340D-476E-BBCD-4777667AFDDA}"/>
    <cellStyle name="Normal 9 2 2 2 6 2 3" xfId="12493" xr:uid="{58CA2606-ED95-47EC-BA13-D36DA7207E2E}"/>
    <cellStyle name="Normal 9 2 2 2 6 3" xfId="6116" xr:uid="{00000000-0005-0000-0000-0000B61E0000}"/>
    <cellStyle name="Normal 9 2 2 2 6 3 2" xfId="14566" xr:uid="{9FC29178-3F88-4323-B81E-589A22EA1848}"/>
    <cellStyle name="Normal 9 2 2 2 6 4" xfId="10348" xr:uid="{06EDC5DA-25C5-4EEB-BD89-07766FBA0298}"/>
    <cellStyle name="Normal 9 2 2 2 7" xfId="2223" xr:uid="{00000000-0005-0000-0000-0000B71E0000}"/>
    <cellStyle name="Normal 9 2 2 2 7 2" xfId="4452" xr:uid="{00000000-0005-0000-0000-0000B81E0000}"/>
    <cellStyle name="Normal 9 2 2 2 7 2 2" xfId="8674" xr:uid="{00000000-0005-0000-0000-0000B91E0000}"/>
    <cellStyle name="Normal 9 2 2 2 7 2 2 2" xfId="17124" xr:uid="{7CCAF26F-2D01-4308-A428-C6690AF22C72}"/>
    <cellStyle name="Normal 9 2 2 2 7 2 3" xfId="12906" xr:uid="{AF686122-2B74-4C63-9578-2B7F90A29E4D}"/>
    <cellStyle name="Normal 9 2 2 2 7 3" xfId="6529" xr:uid="{00000000-0005-0000-0000-0000BA1E0000}"/>
    <cellStyle name="Normal 9 2 2 2 7 3 2" xfId="14979" xr:uid="{93015121-77F3-49BD-8F48-770B410A27AF}"/>
    <cellStyle name="Normal 9 2 2 2 7 4" xfId="10761" xr:uid="{2FEFC578-38F5-4EAE-84CB-AE03A2C6D2E9}"/>
    <cellStyle name="Normal 9 2 2 2 8" xfId="2659" xr:uid="{00000000-0005-0000-0000-0000BB1E0000}"/>
    <cellStyle name="Normal 9 2 2 2 8 2" xfId="6942" xr:uid="{00000000-0005-0000-0000-0000BC1E0000}"/>
    <cellStyle name="Normal 9 2 2 2 8 2 2" xfId="15392" xr:uid="{3F886CF9-A72E-4496-9D03-F7A245B33064}"/>
    <cellStyle name="Normal 9 2 2 2 8 3" xfId="11174" xr:uid="{D1AE4D81-7CD1-42E6-BE77-49C10D69C0C5}"/>
    <cellStyle name="Normal 9 2 2 2 9" xfId="4877" xr:uid="{00000000-0005-0000-0000-0000BD1E0000}"/>
    <cellStyle name="Normal 9 2 2 2 9 2" xfId="13327" xr:uid="{7107478F-169E-4446-8375-25580923ABD5}"/>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2 2 2" xfId="15890" xr:uid="{AE9E4A28-E81B-47FA-9F0D-2C61832E0472}"/>
    <cellStyle name="Normal 9 2 2 3 2 2 2 3" xfId="11672" xr:uid="{AD06EB09-0094-4BBA-9B4D-DB2C934F594A}"/>
    <cellStyle name="Normal 9 2 2 3 2 2 3" xfId="5295" xr:uid="{00000000-0005-0000-0000-0000C31E0000}"/>
    <cellStyle name="Normal 9 2 2 3 2 2 3 2" xfId="13745" xr:uid="{C7487D4E-A8F6-4881-A37B-4672D8CBFEC4}"/>
    <cellStyle name="Normal 9 2 2 3 2 2 4" xfId="9527" xr:uid="{6B811E69-B8C2-4FAA-9D8F-A24A16778293}"/>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2 2 2" xfId="16303" xr:uid="{253C6E22-9B6A-4E54-B398-709A1D00B834}"/>
    <cellStyle name="Normal 9 2 2 3 2 3 2 3" xfId="12085" xr:uid="{064AB4A6-65EC-473B-A962-DC625C7242AF}"/>
    <cellStyle name="Normal 9 2 2 3 2 3 3" xfId="5708" xr:uid="{00000000-0005-0000-0000-0000C71E0000}"/>
    <cellStyle name="Normal 9 2 2 3 2 3 3 2" xfId="14158" xr:uid="{1EC5CD78-60B9-415A-8114-0AAB2BD3C61A}"/>
    <cellStyle name="Normal 9 2 2 3 2 3 4" xfId="9940" xr:uid="{727C09CE-DC5A-4021-8C7F-882FC6D87EDF}"/>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2 2 2" xfId="16716" xr:uid="{89BDCFBB-6EEF-476E-B078-641B7C1EB52A}"/>
    <cellStyle name="Normal 9 2 2 3 2 4 2 3" xfId="12498" xr:uid="{2B84B124-2BFE-4CD7-ABC4-BFAE5F71076F}"/>
    <cellStyle name="Normal 9 2 2 3 2 4 3" xfId="6121" xr:uid="{00000000-0005-0000-0000-0000CB1E0000}"/>
    <cellStyle name="Normal 9 2 2 3 2 4 3 2" xfId="14571" xr:uid="{E3CBF582-5B6E-499C-BC1B-DB6D4DB0AB19}"/>
    <cellStyle name="Normal 9 2 2 3 2 4 4" xfId="10353" xr:uid="{0458465D-82B1-4D77-9065-992510432585}"/>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2 2 2" xfId="17129" xr:uid="{27DE7E4E-2C54-4DDE-A059-C8905E26E719}"/>
    <cellStyle name="Normal 9 2 2 3 2 5 2 3" xfId="12911" xr:uid="{B04E0E45-37E8-4E89-A5A9-013420C07D89}"/>
    <cellStyle name="Normal 9 2 2 3 2 5 3" xfId="6534" xr:uid="{00000000-0005-0000-0000-0000CF1E0000}"/>
    <cellStyle name="Normal 9 2 2 3 2 5 3 2" xfId="14984" xr:uid="{63DDA74A-D9DB-4F52-A1FA-BD33F03568E2}"/>
    <cellStyle name="Normal 9 2 2 3 2 5 4" xfId="10766" xr:uid="{1B1CED2F-84B4-42D3-B006-516D9CFE6A8F}"/>
    <cellStyle name="Normal 9 2 2 3 2 6" xfId="2664" xr:uid="{00000000-0005-0000-0000-0000D01E0000}"/>
    <cellStyle name="Normal 9 2 2 3 2 6 2" xfId="6947" xr:uid="{00000000-0005-0000-0000-0000D11E0000}"/>
    <cellStyle name="Normal 9 2 2 3 2 6 2 2" xfId="15397" xr:uid="{ADB4A4AC-5AFC-4750-A3FB-0A6AC0C245F6}"/>
    <cellStyle name="Normal 9 2 2 3 2 6 3" xfId="11179" xr:uid="{946AE916-F6CB-4C55-A951-42C7B5AF9A0C}"/>
    <cellStyle name="Normal 9 2 2 3 2 7" xfId="4882" xr:uid="{00000000-0005-0000-0000-0000D21E0000}"/>
    <cellStyle name="Normal 9 2 2 3 2 7 2" xfId="13332" xr:uid="{B4DD95C6-F7C8-433D-A0A2-9328D5339144}"/>
    <cellStyle name="Normal 9 2 2 3 2 8" xfId="9114" xr:uid="{D4DED05F-302D-43DA-8CB9-57340CE8F582}"/>
    <cellStyle name="Normal 9 2 2 3 3" xfId="984" xr:uid="{00000000-0005-0000-0000-0000D31E0000}"/>
    <cellStyle name="Normal 9 2 2 3 3 2" xfId="3217" xr:uid="{00000000-0005-0000-0000-0000D41E0000}"/>
    <cellStyle name="Normal 9 2 2 3 3 2 2" xfId="7439" xr:uid="{00000000-0005-0000-0000-0000D51E0000}"/>
    <cellStyle name="Normal 9 2 2 3 3 2 2 2" xfId="15889" xr:uid="{2EB89DBD-A04B-4B0C-B0C2-427579886CDA}"/>
    <cellStyle name="Normal 9 2 2 3 3 2 3" xfId="11671" xr:uid="{3E712C78-6257-4885-BF9F-945A6F6F6945}"/>
    <cellStyle name="Normal 9 2 2 3 3 3" xfId="5294" xr:uid="{00000000-0005-0000-0000-0000D61E0000}"/>
    <cellStyle name="Normal 9 2 2 3 3 3 2" xfId="13744" xr:uid="{16E94522-4A5A-40E4-BD0D-34154F040AA6}"/>
    <cellStyle name="Normal 9 2 2 3 3 4" xfId="9526" xr:uid="{DE5F9E4E-D271-481F-B703-A67588FD55AF}"/>
    <cellStyle name="Normal 9 2 2 3 4" xfId="1400" xr:uid="{00000000-0005-0000-0000-0000D71E0000}"/>
    <cellStyle name="Normal 9 2 2 3 4 2" xfId="3630" xr:uid="{00000000-0005-0000-0000-0000D81E0000}"/>
    <cellStyle name="Normal 9 2 2 3 4 2 2" xfId="7852" xr:uid="{00000000-0005-0000-0000-0000D91E0000}"/>
    <cellStyle name="Normal 9 2 2 3 4 2 2 2" xfId="16302" xr:uid="{FE42D7DF-7645-40E4-B442-D8CEB259B0F4}"/>
    <cellStyle name="Normal 9 2 2 3 4 2 3" xfId="12084" xr:uid="{BB816E34-7833-4F16-B57C-7C90DA1E098A}"/>
    <cellStyle name="Normal 9 2 2 3 4 3" xfId="5707" xr:uid="{00000000-0005-0000-0000-0000DA1E0000}"/>
    <cellStyle name="Normal 9 2 2 3 4 3 2" xfId="14157" xr:uid="{C5A6FBF3-68A2-4CB7-942F-8BD0306AE584}"/>
    <cellStyle name="Normal 9 2 2 3 4 4" xfId="9939" xr:uid="{A0F3F2D7-B446-42BA-90E2-053C3F70248F}"/>
    <cellStyle name="Normal 9 2 2 3 5" xfId="1813" xr:uid="{00000000-0005-0000-0000-0000DB1E0000}"/>
    <cellStyle name="Normal 9 2 2 3 5 2" xfId="4043" xr:uid="{00000000-0005-0000-0000-0000DC1E0000}"/>
    <cellStyle name="Normal 9 2 2 3 5 2 2" xfId="8265" xr:uid="{00000000-0005-0000-0000-0000DD1E0000}"/>
    <cellStyle name="Normal 9 2 2 3 5 2 2 2" xfId="16715" xr:uid="{8774454B-47D0-4EF3-8B20-2DACDCDF9455}"/>
    <cellStyle name="Normal 9 2 2 3 5 2 3" xfId="12497" xr:uid="{A070A5C1-0BB5-450D-BD3E-FB009F9AFD2C}"/>
    <cellStyle name="Normal 9 2 2 3 5 3" xfId="6120" xr:uid="{00000000-0005-0000-0000-0000DE1E0000}"/>
    <cellStyle name="Normal 9 2 2 3 5 3 2" xfId="14570" xr:uid="{32FE6C5E-92B2-465F-B099-8A0EB4BAEE80}"/>
    <cellStyle name="Normal 9 2 2 3 5 4" xfId="10352" xr:uid="{32A36C40-C89F-4E95-A304-CA741365284E}"/>
    <cellStyle name="Normal 9 2 2 3 6" xfId="2227" xr:uid="{00000000-0005-0000-0000-0000DF1E0000}"/>
    <cellStyle name="Normal 9 2 2 3 6 2" xfId="4456" xr:uid="{00000000-0005-0000-0000-0000E01E0000}"/>
    <cellStyle name="Normal 9 2 2 3 6 2 2" xfId="8678" xr:uid="{00000000-0005-0000-0000-0000E11E0000}"/>
    <cellStyle name="Normal 9 2 2 3 6 2 2 2" xfId="17128" xr:uid="{4FB75E06-18E2-4FC4-AF43-D3B738B1A4BC}"/>
    <cellStyle name="Normal 9 2 2 3 6 2 3" xfId="12910" xr:uid="{87D4FF17-D1E5-43BA-9ECE-E854BEF8305C}"/>
    <cellStyle name="Normal 9 2 2 3 6 3" xfId="6533" xr:uid="{00000000-0005-0000-0000-0000E21E0000}"/>
    <cellStyle name="Normal 9 2 2 3 6 3 2" xfId="14983" xr:uid="{18900FA2-74AF-4DD1-B06F-D6C96A7F33AB}"/>
    <cellStyle name="Normal 9 2 2 3 6 4" xfId="10765" xr:uid="{49D4197A-32FD-42FC-B919-5737E3DB5EB7}"/>
    <cellStyle name="Normal 9 2 2 3 7" xfId="2663" xr:uid="{00000000-0005-0000-0000-0000E31E0000}"/>
    <cellStyle name="Normal 9 2 2 3 7 2" xfId="6946" xr:uid="{00000000-0005-0000-0000-0000E41E0000}"/>
    <cellStyle name="Normal 9 2 2 3 7 2 2" xfId="15396" xr:uid="{07102323-93D7-4C27-ADEF-23BDB3F4EC1C}"/>
    <cellStyle name="Normal 9 2 2 3 7 3" xfId="11178" xr:uid="{8B5C97E6-5476-4AF2-822C-5FAC3C9DD3E8}"/>
    <cellStyle name="Normal 9 2 2 3 8" xfId="4881" xr:uid="{00000000-0005-0000-0000-0000E51E0000}"/>
    <cellStyle name="Normal 9 2 2 3 8 2" xfId="13331" xr:uid="{5B52BB48-5D0B-4562-BD97-B811CC066BED}"/>
    <cellStyle name="Normal 9 2 2 3 9" xfId="9113" xr:uid="{9E5DE448-0224-417A-AA62-1DE9A375BE0F}"/>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2 2 2" xfId="15891" xr:uid="{77759167-92FC-43AF-A745-8B4D5CCEAC7A}"/>
    <cellStyle name="Normal 9 2 2 4 2 2 3" xfId="11673" xr:uid="{574BBE04-9010-4134-8EAB-CB4101FBE464}"/>
    <cellStyle name="Normal 9 2 2 4 2 3" xfId="5296" xr:uid="{00000000-0005-0000-0000-0000EA1E0000}"/>
    <cellStyle name="Normal 9 2 2 4 2 3 2" xfId="13746" xr:uid="{694133F4-A71A-4543-B3AD-7A9D9F51AEA1}"/>
    <cellStyle name="Normal 9 2 2 4 2 4" xfId="9528" xr:uid="{F5387B2A-DF45-4A83-BB09-33A00FA9FEB4}"/>
    <cellStyle name="Normal 9 2 2 4 3" xfId="1402" xr:uid="{00000000-0005-0000-0000-0000EB1E0000}"/>
    <cellStyle name="Normal 9 2 2 4 3 2" xfId="3632" xr:uid="{00000000-0005-0000-0000-0000EC1E0000}"/>
    <cellStyle name="Normal 9 2 2 4 3 2 2" xfId="7854" xr:uid="{00000000-0005-0000-0000-0000ED1E0000}"/>
    <cellStyle name="Normal 9 2 2 4 3 2 2 2" xfId="16304" xr:uid="{91A758AF-7428-4F29-94DE-8E4199A59895}"/>
    <cellStyle name="Normal 9 2 2 4 3 2 3" xfId="12086" xr:uid="{3F186C9F-E06D-4DD3-9C8C-48726060F49E}"/>
    <cellStyle name="Normal 9 2 2 4 3 3" xfId="5709" xr:uid="{00000000-0005-0000-0000-0000EE1E0000}"/>
    <cellStyle name="Normal 9 2 2 4 3 3 2" xfId="14159" xr:uid="{66B702A9-DC05-46AD-BC2D-9D0471D4DBFE}"/>
    <cellStyle name="Normal 9 2 2 4 3 4" xfId="9941" xr:uid="{6470CA49-8073-4006-B641-927884BF93EB}"/>
    <cellStyle name="Normal 9 2 2 4 4" xfId="1815" xr:uid="{00000000-0005-0000-0000-0000EF1E0000}"/>
    <cellStyle name="Normal 9 2 2 4 4 2" xfId="4045" xr:uid="{00000000-0005-0000-0000-0000F01E0000}"/>
    <cellStyle name="Normal 9 2 2 4 4 2 2" xfId="8267" xr:uid="{00000000-0005-0000-0000-0000F11E0000}"/>
    <cellStyle name="Normal 9 2 2 4 4 2 2 2" xfId="16717" xr:uid="{B123DE34-8659-47FA-8EEE-8B741FA28943}"/>
    <cellStyle name="Normal 9 2 2 4 4 2 3" xfId="12499" xr:uid="{D58CB694-AC10-4021-B094-F3134DF8A527}"/>
    <cellStyle name="Normal 9 2 2 4 4 3" xfId="6122" xr:uid="{00000000-0005-0000-0000-0000F21E0000}"/>
    <cellStyle name="Normal 9 2 2 4 4 3 2" xfId="14572" xr:uid="{BA7C1FE0-3356-4A15-A44D-142E85B5E2F5}"/>
    <cellStyle name="Normal 9 2 2 4 4 4" xfId="10354" xr:uid="{57DD63DC-9598-4800-A694-67445980B6F0}"/>
    <cellStyle name="Normal 9 2 2 4 5" xfId="2229" xr:uid="{00000000-0005-0000-0000-0000F31E0000}"/>
    <cellStyle name="Normal 9 2 2 4 5 2" xfId="4458" xr:uid="{00000000-0005-0000-0000-0000F41E0000}"/>
    <cellStyle name="Normal 9 2 2 4 5 2 2" xfId="8680" xr:uid="{00000000-0005-0000-0000-0000F51E0000}"/>
    <cellStyle name="Normal 9 2 2 4 5 2 2 2" xfId="17130" xr:uid="{066F3346-38C4-4A66-9AAB-7F44FE1DE55F}"/>
    <cellStyle name="Normal 9 2 2 4 5 2 3" xfId="12912" xr:uid="{B6D0C0F9-6A24-4192-9015-0F391D5BB7A7}"/>
    <cellStyle name="Normal 9 2 2 4 5 3" xfId="6535" xr:uid="{00000000-0005-0000-0000-0000F61E0000}"/>
    <cellStyle name="Normal 9 2 2 4 5 3 2" xfId="14985" xr:uid="{7C8EFC7F-22A7-46AC-9F39-F27E3C47DD67}"/>
    <cellStyle name="Normal 9 2 2 4 5 4" xfId="10767" xr:uid="{A106D271-99AC-4BA7-ACB1-666EFF894251}"/>
    <cellStyle name="Normal 9 2 2 4 6" xfId="2665" xr:uid="{00000000-0005-0000-0000-0000F71E0000}"/>
    <cellStyle name="Normal 9 2 2 4 6 2" xfId="6948" xr:uid="{00000000-0005-0000-0000-0000F81E0000}"/>
    <cellStyle name="Normal 9 2 2 4 6 2 2" xfId="15398" xr:uid="{327FF79A-0F5A-4B31-A13E-E821483CA0EF}"/>
    <cellStyle name="Normal 9 2 2 4 6 3" xfId="11180" xr:uid="{9A56DD60-7703-4B18-92DD-4D227F689122}"/>
    <cellStyle name="Normal 9 2 2 4 7" xfId="4883" xr:uid="{00000000-0005-0000-0000-0000F91E0000}"/>
    <cellStyle name="Normal 9 2 2 4 7 2" xfId="13333" xr:uid="{63D51FBE-B117-48F8-BC44-150570A6081B}"/>
    <cellStyle name="Normal 9 2 2 4 8" xfId="9115" xr:uid="{8BBFE24A-CB07-4A54-AFFF-F3759DCE038E}"/>
    <cellStyle name="Normal 9 2 2 5" xfId="979" xr:uid="{00000000-0005-0000-0000-0000FA1E0000}"/>
    <cellStyle name="Normal 9 2 2 5 2" xfId="3212" xr:uid="{00000000-0005-0000-0000-0000FB1E0000}"/>
    <cellStyle name="Normal 9 2 2 5 2 2" xfId="7434" xr:uid="{00000000-0005-0000-0000-0000FC1E0000}"/>
    <cellStyle name="Normal 9 2 2 5 2 2 2" xfId="15884" xr:uid="{22F8C1C4-7424-40F1-B002-FC8E77598FAB}"/>
    <cellStyle name="Normal 9 2 2 5 2 3" xfId="11666" xr:uid="{641EE3F6-A916-4A69-ACF3-1878C86B28F8}"/>
    <cellStyle name="Normal 9 2 2 5 3" xfId="5289" xr:uid="{00000000-0005-0000-0000-0000FD1E0000}"/>
    <cellStyle name="Normal 9 2 2 5 3 2" xfId="13739" xr:uid="{B15C597F-DB7B-42E0-AA38-3C05E851E99F}"/>
    <cellStyle name="Normal 9 2 2 5 4" xfId="9521" xr:uid="{702FAF95-93E1-45B1-8F7F-906E926AE2B6}"/>
    <cellStyle name="Normal 9 2 2 6" xfId="1395" xr:uid="{00000000-0005-0000-0000-0000FE1E0000}"/>
    <cellStyle name="Normal 9 2 2 6 2" xfId="3625" xr:uid="{00000000-0005-0000-0000-0000FF1E0000}"/>
    <cellStyle name="Normal 9 2 2 6 2 2" xfId="7847" xr:uid="{00000000-0005-0000-0000-0000001F0000}"/>
    <cellStyle name="Normal 9 2 2 6 2 2 2" xfId="16297" xr:uid="{040AD828-5E0B-4987-81BF-2DE9BD602B5A}"/>
    <cellStyle name="Normal 9 2 2 6 2 3" xfId="12079" xr:uid="{99A45C77-E396-4F74-A152-A860D1C38DB3}"/>
    <cellStyle name="Normal 9 2 2 6 3" xfId="5702" xr:uid="{00000000-0005-0000-0000-0000011F0000}"/>
    <cellStyle name="Normal 9 2 2 6 3 2" xfId="14152" xr:uid="{90C4AF10-40D2-489D-8EE8-81802F6B0F2F}"/>
    <cellStyle name="Normal 9 2 2 6 4" xfId="9934" xr:uid="{F23EE167-7A7A-4BF4-A1EC-051F2C735F9D}"/>
    <cellStyle name="Normal 9 2 2 7" xfId="1808" xr:uid="{00000000-0005-0000-0000-0000021F0000}"/>
    <cellStyle name="Normal 9 2 2 7 2" xfId="4038" xr:uid="{00000000-0005-0000-0000-0000031F0000}"/>
    <cellStyle name="Normal 9 2 2 7 2 2" xfId="8260" xr:uid="{00000000-0005-0000-0000-0000041F0000}"/>
    <cellStyle name="Normal 9 2 2 7 2 2 2" xfId="16710" xr:uid="{E9BA75EF-F5DC-4951-A7E5-3490180C1415}"/>
    <cellStyle name="Normal 9 2 2 7 2 3" xfId="12492" xr:uid="{33F86FDF-DE41-4352-8136-DADDA251D37A}"/>
    <cellStyle name="Normal 9 2 2 7 3" xfId="6115" xr:uid="{00000000-0005-0000-0000-0000051F0000}"/>
    <cellStyle name="Normal 9 2 2 7 3 2" xfId="14565" xr:uid="{21CF37D1-388E-48A5-BCE8-940F7A8E5246}"/>
    <cellStyle name="Normal 9 2 2 7 4" xfId="10347" xr:uid="{D62E66E1-8A78-4C8F-8AEE-760ED42E04FC}"/>
    <cellStyle name="Normal 9 2 2 8" xfId="2222" xr:uid="{00000000-0005-0000-0000-0000061F0000}"/>
    <cellStyle name="Normal 9 2 2 8 2" xfId="4451" xr:uid="{00000000-0005-0000-0000-0000071F0000}"/>
    <cellStyle name="Normal 9 2 2 8 2 2" xfId="8673" xr:uid="{00000000-0005-0000-0000-0000081F0000}"/>
    <cellStyle name="Normal 9 2 2 8 2 2 2" xfId="17123" xr:uid="{1B6EBF9D-577B-43B0-BF94-447E9B9B43EA}"/>
    <cellStyle name="Normal 9 2 2 8 2 3" xfId="12905" xr:uid="{D94C3DAF-FD2B-4E7F-A819-9BF4F736CC44}"/>
    <cellStyle name="Normal 9 2 2 8 3" xfId="6528" xr:uid="{00000000-0005-0000-0000-0000091F0000}"/>
    <cellStyle name="Normal 9 2 2 8 3 2" xfId="14978" xr:uid="{B2FF7081-2BF4-480B-9FF7-CC1756B6C7AE}"/>
    <cellStyle name="Normal 9 2 2 8 4" xfId="10760" xr:uid="{ECD4CDD3-4687-49BD-8061-DBAF6EE56403}"/>
    <cellStyle name="Normal 9 2 2 9" xfId="2658" xr:uid="{00000000-0005-0000-0000-00000A1F0000}"/>
    <cellStyle name="Normal 9 2 2 9 2" xfId="6941" xr:uid="{00000000-0005-0000-0000-00000B1F0000}"/>
    <cellStyle name="Normal 9 2 2 9 2 2" xfId="15391" xr:uid="{8A14DFEC-D2A7-47CA-A8D3-191E583F7F4A}"/>
    <cellStyle name="Normal 9 2 2 9 3" xfId="11173" xr:uid="{57158785-1EB7-4BEF-8960-662A623E7644}"/>
    <cellStyle name="Normal 9 2 3" xfId="520" xr:uid="{00000000-0005-0000-0000-00000C1F0000}"/>
    <cellStyle name="Normal 9 2 3 10" xfId="9116" xr:uid="{38B38A1A-0942-4385-95F4-F1B153CF85D1}"/>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2 2 2" xfId="15894" xr:uid="{84711168-7CF9-4FBE-8733-550265724DEE}"/>
    <cellStyle name="Normal 9 2 3 2 2 2 2 3" xfId="11676" xr:uid="{998B42F3-C6C1-4D11-B250-B78B695370D1}"/>
    <cellStyle name="Normal 9 2 3 2 2 2 3" xfId="5299" xr:uid="{00000000-0005-0000-0000-0000121F0000}"/>
    <cellStyle name="Normal 9 2 3 2 2 2 3 2" xfId="13749" xr:uid="{ED5756FC-0DCE-47F5-A42D-E9021520C747}"/>
    <cellStyle name="Normal 9 2 3 2 2 2 4" xfId="9531" xr:uid="{6455C477-8F7F-4565-9DD1-D0C9B926B06C}"/>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2 2 2" xfId="16307" xr:uid="{82B03FE3-557D-49A4-A526-A32878702E0F}"/>
    <cellStyle name="Normal 9 2 3 2 2 3 2 3" xfId="12089" xr:uid="{EBBCCB48-8987-4612-BCE0-B3BC76A3C111}"/>
    <cellStyle name="Normal 9 2 3 2 2 3 3" xfId="5712" xr:uid="{00000000-0005-0000-0000-0000161F0000}"/>
    <cellStyle name="Normal 9 2 3 2 2 3 3 2" xfId="14162" xr:uid="{46A694ED-D019-4AFA-B276-A039D9B5C3E0}"/>
    <cellStyle name="Normal 9 2 3 2 2 3 4" xfId="9944" xr:uid="{50DB593E-F333-492D-BD1F-197C66DFAA15}"/>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2 2 2" xfId="16720" xr:uid="{5802EB9D-213D-45E9-8555-57A96D2E1EB3}"/>
    <cellStyle name="Normal 9 2 3 2 2 4 2 3" xfId="12502" xr:uid="{ECBD6585-9F69-4D52-9A28-0FD0E7F699C6}"/>
    <cellStyle name="Normal 9 2 3 2 2 4 3" xfId="6125" xr:uid="{00000000-0005-0000-0000-00001A1F0000}"/>
    <cellStyle name="Normal 9 2 3 2 2 4 3 2" xfId="14575" xr:uid="{0CF8440D-902D-4530-825D-30799136AD8A}"/>
    <cellStyle name="Normal 9 2 3 2 2 4 4" xfId="10357" xr:uid="{3B520B65-4498-4481-BEBA-22E48AD4689F}"/>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2 2 2" xfId="17133" xr:uid="{B8FCA38F-A129-431A-B5CB-41399581A5D0}"/>
    <cellStyle name="Normal 9 2 3 2 2 5 2 3" xfId="12915" xr:uid="{F1087CCC-C3D0-4FE9-B17B-3B6C145E9AB6}"/>
    <cellStyle name="Normal 9 2 3 2 2 5 3" xfId="6538" xr:uid="{00000000-0005-0000-0000-00001E1F0000}"/>
    <cellStyle name="Normal 9 2 3 2 2 5 3 2" xfId="14988" xr:uid="{C32F48FB-04D5-4451-BCDF-8C6272823587}"/>
    <cellStyle name="Normal 9 2 3 2 2 5 4" xfId="10770" xr:uid="{E0A8B581-96E1-4EE5-BC3A-711AF59971A4}"/>
    <cellStyle name="Normal 9 2 3 2 2 6" xfId="2668" xr:uid="{00000000-0005-0000-0000-00001F1F0000}"/>
    <cellStyle name="Normal 9 2 3 2 2 6 2" xfId="6951" xr:uid="{00000000-0005-0000-0000-0000201F0000}"/>
    <cellStyle name="Normal 9 2 3 2 2 6 2 2" xfId="15401" xr:uid="{F0643CC9-AF19-4893-859F-96A93B9EEC23}"/>
    <cellStyle name="Normal 9 2 3 2 2 6 3" xfId="11183" xr:uid="{60AB2642-9FA2-4807-8B9C-B50D49F07E9D}"/>
    <cellStyle name="Normal 9 2 3 2 2 7" xfId="4886" xr:uid="{00000000-0005-0000-0000-0000211F0000}"/>
    <cellStyle name="Normal 9 2 3 2 2 7 2" xfId="13336" xr:uid="{5EFC1CAC-4A40-4C6E-B9EB-85E98402852E}"/>
    <cellStyle name="Normal 9 2 3 2 2 8" xfId="9118" xr:uid="{28095EC5-0D8E-457A-BE2A-6AEE846C12ED}"/>
    <cellStyle name="Normal 9 2 3 2 3" xfId="988" xr:uid="{00000000-0005-0000-0000-0000221F0000}"/>
    <cellStyle name="Normal 9 2 3 2 3 2" xfId="3221" xr:uid="{00000000-0005-0000-0000-0000231F0000}"/>
    <cellStyle name="Normal 9 2 3 2 3 2 2" xfId="7443" xr:uid="{00000000-0005-0000-0000-0000241F0000}"/>
    <cellStyle name="Normal 9 2 3 2 3 2 2 2" xfId="15893" xr:uid="{286079CC-6B4E-4789-AF1D-1CEF67F9428E}"/>
    <cellStyle name="Normal 9 2 3 2 3 2 3" xfId="11675" xr:uid="{D57327E1-DBEA-45B8-9F2B-93CA011F7A65}"/>
    <cellStyle name="Normal 9 2 3 2 3 3" xfId="5298" xr:uid="{00000000-0005-0000-0000-0000251F0000}"/>
    <cellStyle name="Normal 9 2 3 2 3 3 2" xfId="13748" xr:uid="{34A43966-33A9-411E-BDD5-5460BB097274}"/>
    <cellStyle name="Normal 9 2 3 2 3 4" xfId="9530" xr:uid="{47592670-4236-4CC0-BE43-859FA5A3258E}"/>
    <cellStyle name="Normal 9 2 3 2 4" xfId="1404" xr:uid="{00000000-0005-0000-0000-0000261F0000}"/>
    <cellStyle name="Normal 9 2 3 2 4 2" xfId="3634" xr:uid="{00000000-0005-0000-0000-0000271F0000}"/>
    <cellStyle name="Normal 9 2 3 2 4 2 2" xfId="7856" xr:uid="{00000000-0005-0000-0000-0000281F0000}"/>
    <cellStyle name="Normal 9 2 3 2 4 2 2 2" xfId="16306" xr:uid="{6DF3F9D1-AF2B-41E6-A8B6-353EC5999EE4}"/>
    <cellStyle name="Normal 9 2 3 2 4 2 3" xfId="12088" xr:uid="{8D668C43-0022-42A8-B7E3-BB9D84197B8E}"/>
    <cellStyle name="Normal 9 2 3 2 4 3" xfId="5711" xr:uid="{00000000-0005-0000-0000-0000291F0000}"/>
    <cellStyle name="Normal 9 2 3 2 4 3 2" xfId="14161" xr:uid="{05AAC1EF-A756-40EC-8238-DCBAEE2DE577}"/>
    <cellStyle name="Normal 9 2 3 2 4 4" xfId="9943" xr:uid="{7AD83E4C-E999-495E-94D9-2CECD463237E}"/>
    <cellStyle name="Normal 9 2 3 2 5" xfId="1817" xr:uid="{00000000-0005-0000-0000-00002A1F0000}"/>
    <cellStyle name="Normal 9 2 3 2 5 2" xfId="4047" xr:uid="{00000000-0005-0000-0000-00002B1F0000}"/>
    <cellStyle name="Normal 9 2 3 2 5 2 2" xfId="8269" xr:uid="{00000000-0005-0000-0000-00002C1F0000}"/>
    <cellStyle name="Normal 9 2 3 2 5 2 2 2" xfId="16719" xr:uid="{360050B9-9BFF-46CA-AD27-EB7213CD3AD3}"/>
    <cellStyle name="Normal 9 2 3 2 5 2 3" xfId="12501" xr:uid="{87C72BEC-4CEC-4738-B549-73EB7B5D8980}"/>
    <cellStyle name="Normal 9 2 3 2 5 3" xfId="6124" xr:uid="{00000000-0005-0000-0000-00002D1F0000}"/>
    <cellStyle name="Normal 9 2 3 2 5 3 2" xfId="14574" xr:uid="{26563620-14E5-4EBE-A971-F1A1BEA5DDC9}"/>
    <cellStyle name="Normal 9 2 3 2 5 4" xfId="10356" xr:uid="{4B2836C7-BCE9-48E4-801E-4D198190602C}"/>
    <cellStyle name="Normal 9 2 3 2 6" xfId="2231" xr:uid="{00000000-0005-0000-0000-00002E1F0000}"/>
    <cellStyle name="Normal 9 2 3 2 6 2" xfId="4460" xr:uid="{00000000-0005-0000-0000-00002F1F0000}"/>
    <cellStyle name="Normal 9 2 3 2 6 2 2" xfId="8682" xr:uid="{00000000-0005-0000-0000-0000301F0000}"/>
    <cellStyle name="Normal 9 2 3 2 6 2 2 2" xfId="17132" xr:uid="{0BDCCC6D-B593-4215-93C1-54125560D9E1}"/>
    <cellStyle name="Normal 9 2 3 2 6 2 3" xfId="12914" xr:uid="{D1002E40-6D04-4BBC-BEB6-F19AEC062745}"/>
    <cellStyle name="Normal 9 2 3 2 6 3" xfId="6537" xr:uid="{00000000-0005-0000-0000-0000311F0000}"/>
    <cellStyle name="Normal 9 2 3 2 6 3 2" xfId="14987" xr:uid="{AB8A66F8-8280-42FB-A97E-A16C2C5033E0}"/>
    <cellStyle name="Normal 9 2 3 2 6 4" xfId="10769" xr:uid="{C2D5158B-F917-4D0C-B036-8B9A9B3B940E}"/>
    <cellStyle name="Normal 9 2 3 2 7" xfId="2667" xr:uid="{00000000-0005-0000-0000-0000321F0000}"/>
    <cellStyle name="Normal 9 2 3 2 7 2" xfId="6950" xr:uid="{00000000-0005-0000-0000-0000331F0000}"/>
    <cellStyle name="Normal 9 2 3 2 7 2 2" xfId="15400" xr:uid="{5A266EE3-6885-452F-934E-9414A3470296}"/>
    <cellStyle name="Normal 9 2 3 2 7 3" xfId="11182" xr:uid="{F4503049-E782-4493-A7CA-828F6A48D2F0}"/>
    <cellStyle name="Normal 9 2 3 2 8" xfId="4885" xr:uid="{00000000-0005-0000-0000-0000341F0000}"/>
    <cellStyle name="Normal 9 2 3 2 8 2" xfId="13335" xr:uid="{F56971E5-6264-47A3-ADC2-9D51267365D5}"/>
    <cellStyle name="Normal 9 2 3 2 9" xfId="9117" xr:uid="{CC0D2C36-BF76-4449-A382-F2905AEC5C6D}"/>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2 2 2" xfId="15895" xr:uid="{67B5417D-BA14-4462-962F-CD0FE055A777}"/>
    <cellStyle name="Normal 9 2 3 3 2 2 3" xfId="11677" xr:uid="{A71E3BAE-F92A-4B76-BA25-CC0A564A6FC0}"/>
    <cellStyle name="Normal 9 2 3 3 2 3" xfId="5300" xr:uid="{00000000-0005-0000-0000-0000391F0000}"/>
    <cellStyle name="Normal 9 2 3 3 2 3 2" xfId="13750" xr:uid="{9486B223-D95E-4C9E-A01F-1729D5A498E9}"/>
    <cellStyle name="Normal 9 2 3 3 2 4" xfId="9532" xr:uid="{281A3E8D-2E77-459F-8BFE-8FD51D90CF82}"/>
    <cellStyle name="Normal 9 2 3 3 3" xfId="1406" xr:uid="{00000000-0005-0000-0000-00003A1F0000}"/>
    <cellStyle name="Normal 9 2 3 3 3 2" xfId="3636" xr:uid="{00000000-0005-0000-0000-00003B1F0000}"/>
    <cellStyle name="Normal 9 2 3 3 3 2 2" xfId="7858" xr:uid="{00000000-0005-0000-0000-00003C1F0000}"/>
    <cellStyle name="Normal 9 2 3 3 3 2 2 2" xfId="16308" xr:uid="{543594B2-FF14-4308-9952-23A972860F87}"/>
    <cellStyle name="Normal 9 2 3 3 3 2 3" xfId="12090" xr:uid="{8C6EC7DA-5FF6-414B-A600-1D61E860942B}"/>
    <cellStyle name="Normal 9 2 3 3 3 3" xfId="5713" xr:uid="{00000000-0005-0000-0000-00003D1F0000}"/>
    <cellStyle name="Normal 9 2 3 3 3 3 2" xfId="14163" xr:uid="{BE1B3B0D-BEE9-43A8-8767-A26F6B78795D}"/>
    <cellStyle name="Normal 9 2 3 3 3 4" xfId="9945" xr:uid="{B5510967-0785-4DBC-B88A-DE2F388518C6}"/>
    <cellStyle name="Normal 9 2 3 3 4" xfId="1819" xr:uid="{00000000-0005-0000-0000-00003E1F0000}"/>
    <cellStyle name="Normal 9 2 3 3 4 2" xfId="4049" xr:uid="{00000000-0005-0000-0000-00003F1F0000}"/>
    <cellStyle name="Normal 9 2 3 3 4 2 2" xfId="8271" xr:uid="{00000000-0005-0000-0000-0000401F0000}"/>
    <cellStyle name="Normal 9 2 3 3 4 2 2 2" xfId="16721" xr:uid="{2798B89B-7BE3-4D73-B4D0-F636132022A5}"/>
    <cellStyle name="Normal 9 2 3 3 4 2 3" xfId="12503" xr:uid="{D66F656C-E0D5-4233-A106-A74CBD2CE1C4}"/>
    <cellStyle name="Normal 9 2 3 3 4 3" xfId="6126" xr:uid="{00000000-0005-0000-0000-0000411F0000}"/>
    <cellStyle name="Normal 9 2 3 3 4 3 2" xfId="14576" xr:uid="{F904E1AD-B604-4DBE-AD54-76FA4B8C947F}"/>
    <cellStyle name="Normal 9 2 3 3 4 4" xfId="10358" xr:uid="{5CFE33EE-3144-4935-B005-96AF835D5B23}"/>
    <cellStyle name="Normal 9 2 3 3 5" xfId="2233" xr:uid="{00000000-0005-0000-0000-0000421F0000}"/>
    <cellStyle name="Normal 9 2 3 3 5 2" xfId="4462" xr:uid="{00000000-0005-0000-0000-0000431F0000}"/>
    <cellStyle name="Normal 9 2 3 3 5 2 2" xfId="8684" xr:uid="{00000000-0005-0000-0000-0000441F0000}"/>
    <cellStyle name="Normal 9 2 3 3 5 2 2 2" xfId="17134" xr:uid="{21635CAE-9CFD-4CF7-9F21-0A07D889A0BA}"/>
    <cellStyle name="Normal 9 2 3 3 5 2 3" xfId="12916" xr:uid="{508B376C-DA13-4289-A2DE-3B4C4B3F740F}"/>
    <cellStyle name="Normal 9 2 3 3 5 3" xfId="6539" xr:uid="{00000000-0005-0000-0000-0000451F0000}"/>
    <cellStyle name="Normal 9 2 3 3 5 3 2" xfId="14989" xr:uid="{60C025F8-3A9C-4EF6-85D2-38CE6BC70B6D}"/>
    <cellStyle name="Normal 9 2 3 3 5 4" xfId="10771" xr:uid="{A6B857BC-C206-43E2-933C-4A33DE3C992D}"/>
    <cellStyle name="Normal 9 2 3 3 6" xfId="2669" xr:uid="{00000000-0005-0000-0000-0000461F0000}"/>
    <cellStyle name="Normal 9 2 3 3 6 2" xfId="6952" xr:uid="{00000000-0005-0000-0000-0000471F0000}"/>
    <cellStyle name="Normal 9 2 3 3 6 2 2" xfId="15402" xr:uid="{3CEBAECC-8E52-4CFB-BCC6-F5FC60F819FF}"/>
    <cellStyle name="Normal 9 2 3 3 6 3" xfId="11184" xr:uid="{A43FBE80-01E1-4F7B-A0C2-3BC0BD60755D}"/>
    <cellStyle name="Normal 9 2 3 3 7" xfId="4887" xr:uid="{00000000-0005-0000-0000-0000481F0000}"/>
    <cellStyle name="Normal 9 2 3 3 7 2" xfId="13337" xr:uid="{35E0A3A1-5F12-46E5-8F03-57BB674C2ABE}"/>
    <cellStyle name="Normal 9 2 3 3 8" xfId="9119" xr:uid="{55536A95-2ABF-407C-8088-A0ADBC0570CD}"/>
    <cellStyle name="Normal 9 2 3 4" xfId="987" xr:uid="{00000000-0005-0000-0000-0000491F0000}"/>
    <cellStyle name="Normal 9 2 3 4 2" xfId="3220" xr:uid="{00000000-0005-0000-0000-00004A1F0000}"/>
    <cellStyle name="Normal 9 2 3 4 2 2" xfId="7442" xr:uid="{00000000-0005-0000-0000-00004B1F0000}"/>
    <cellStyle name="Normal 9 2 3 4 2 2 2" xfId="15892" xr:uid="{1AA12203-4B09-4723-BF57-EC8AE25CDC26}"/>
    <cellStyle name="Normal 9 2 3 4 2 3" xfId="11674" xr:uid="{336339EF-1EDC-441F-84D8-66F8B18EFB75}"/>
    <cellStyle name="Normal 9 2 3 4 3" xfId="5297" xr:uid="{00000000-0005-0000-0000-00004C1F0000}"/>
    <cellStyle name="Normal 9 2 3 4 3 2" xfId="13747" xr:uid="{04161E4C-AC84-444F-A80D-AA7C3A10CA31}"/>
    <cellStyle name="Normal 9 2 3 4 4" xfId="9529" xr:uid="{C322206B-9B32-4C72-85C3-0C5F5CC997A6}"/>
    <cellStyle name="Normal 9 2 3 5" xfId="1403" xr:uid="{00000000-0005-0000-0000-00004D1F0000}"/>
    <cellStyle name="Normal 9 2 3 5 2" xfId="3633" xr:uid="{00000000-0005-0000-0000-00004E1F0000}"/>
    <cellStyle name="Normal 9 2 3 5 2 2" xfId="7855" xr:uid="{00000000-0005-0000-0000-00004F1F0000}"/>
    <cellStyle name="Normal 9 2 3 5 2 2 2" xfId="16305" xr:uid="{902220A1-F448-478A-AFA4-C92358A1C258}"/>
    <cellStyle name="Normal 9 2 3 5 2 3" xfId="12087" xr:uid="{A1B22ECA-1C9B-4B72-8AA8-5B419CF838CA}"/>
    <cellStyle name="Normal 9 2 3 5 3" xfId="5710" xr:uid="{00000000-0005-0000-0000-0000501F0000}"/>
    <cellStyle name="Normal 9 2 3 5 3 2" xfId="14160" xr:uid="{9925C648-FF46-4C5E-B915-03EA9C14E6F6}"/>
    <cellStyle name="Normal 9 2 3 5 4" xfId="9942" xr:uid="{893AE2B7-9D1B-4CD6-8856-57C83A8DA7E1}"/>
    <cellStyle name="Normal 9 2 3 6" xfId="1816" xr:uid="{00000000-0005-0000-0000-0000511F0000}"/>
    <cellStyle name="Normal 9 2 3 6 2" xfId="4046" xr:uid="{00000000-0005-0000-0000-0000521F0000}"/>
    <cellStyle name="Normal 9 2 3 6 2 2" xfId="8268" xr:uid="{00000000-0005-0000-0000-0000531F0000}"/>
    <cellStyle name="Normal 9 2 3 6 2 2 2" xfId="16718" xr:uid="{1AC83671-724D-4861-AFDC-A23BFE00C0E7}"/>
    <cellStyle name="Normal 9 2 3 6 2 3" xfId="12500" xr:uid="{14A01C1F-3A00-4A55-ACF7-D3EDCC6DCCF6}"/>
    <cellStyle name="Normal 9 2 3 6 3" xfId="6123" xr:uid="{00000000-0005-0000-0000-0000541F0000}"/>
    <cellStyle name="Normal 9 2 3 6 3 2" xfId="14573" xr:uid="{59C7DCE4-E0BB-4F8D-AB29-FF73F45C8CF9}"/>
    <cellStyle name="Normal 9 2 3 6 4" xfId="10355" xr:uid="{D8DDA63F-6E3F-494F-AE1C-FD90A0E349A0}"/>
    <cellStyle name="Normal 9 2 3 7" xfId="2230" xr:uid="{00000000-0005-0000-0000-0000551F0000}"/>
    <cellStyle name="Normal 9 2 3 7 2" xfId="4459" xr:uid="{00000000-0005-0000-0000-0000561F0000}"/>
    <cellStyle name="Normal 9 2 3 7 2 2" xfId="8681" xr:uid="{00000000-0005-0000-0000-0000571F0000}"/>
    <cellStyle name="Normal 9 2 3 7 2 2 2" xfId="17131" xr:uid="{D8CC7E29-6BFC-4D8E-9306-5F2F6D6E6087}"/>
    <cellStyle name="Normal 9 2 3 7 2 3" xfId="12913" xr:uid="{3EB50AD4-958E-4453-A060-9A261C4F93AC}"/>
    <cellStyle name="Normal 9 2 3 7 3" xfId="6536" xr:uid="{00000000-0005-0000-0000-0000581F0000}"/>
    <cellStyle name="Normal 9 2 3 7 3 2" xfId="14986" xr:uid="{310A2028-CCE9-4224-BE07-19D329AEB947}"/>
    <cellStyle name="Normal 9 2 3 7 4" xfId="10768" xr:uid="{35D0C56F-1ADC-4E03-920D-B0A31A61A5C5}"/>
    <cellStyle name="Normal 9 2 3 8" xfId="2666" xr:uid="{00000000-0005-0000-0000-0000591F0000}"/>
    <cellStyle name="Normal 9 2 3 8 2" xfId="6949" xr:uid="{00000000-0005-0000-0000-00005A1F0000}"/>
    <cellStyle name="Normal 9 2 3 8 2 2" xfId="15399" xr:uid="{F03B5085-BF67-412C-8AFD-AD59403DA39F}"/>
    <cellStyle name="Normal 9 2 3 8 3" xfId="11181" xr:uid="{0A92E88B-9085-4C70-9CFE-C8703DE57283}"/>
    <cellStyle name="Normal 9 2 3 9" xfId="4884" xr:uid="{00000000-0005-0000-0000-00005B1F0000}"/>
    <cellStyle name="Normal 9 2 3 9 2" xfId="13334" xr:uid="{3953B955-A5E7-4555-A887-23B1767D6D0F}"/>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2 2 2" xfId="15897" xr:uid="{D6F668BB-1BE3-43D6-B19A-41F4D1F35DA6}"/>
    <cellStyle name="Normal 9 2 4 2 2 2 3" xfId="11679" xr:uid="{D4BE450A-D598-4432-B420-F9DD0D4E5DB0}"/>
    <cellStyle name="Normal 9 2 4 2 2 3" xfId="5302" xr:uid="{00000000-0005-0000-0000-0000611F0000}"/>
    <cellStyle name="Normal 9 2 4 2 2 3 2" xfId="13752" xr:uid="{ABD781A9-2081-40C4-9DB1-BC035CC7E06C}"/>
    <cellStyle name="Normal 9 2 4 2 2 4" xfId="9534" xr:uid="{7CB5C37D-CEA9-46EC-944A-E4322B359D80}"/>
    <cellStyle name="Normal 9 2 4 2 3" xfId="1408" xr:uid="{00000000-0005-0000-0000-0000621F0000}"/>
    <cellStyle name="Normal 9 2 4 2 3 2" xfId="3638" xr:uid="{00000000-0005-0000-0000-0000631F0000}"/>
    <cellStyle name="Normal 9 2 4 2 3 2 2" xfId="7860" xr:uid="{00000000-0005-0000-0000-0000641F0000}"/>
    <cellStyle name="Normal 9 2 4 2 3 2 2 2" xfId="16310" xr:uid="{6F914573-3308-4166-B0BC-6EEDFF4B9AAE}"/>
    <cellStyle name="Normal 9 2 4 2 3 2 3" xfId="12092" xr:uid="{C9EDA756-617C-4217-AB04-08C3BD7F3222}"/>
    <cellStyle name="Normal 9 2 4 2 3 3" xfId="5715" xr:uid="{00000000-0005-0000-0000-0000651F0000}"/>
    <cellStyle name="Normal 9 2 4 2 3 3 2" xfId="14165" xr:uid="{2C22BC46-73A2-44AC-BB17-D8550B6CC8D9}"/>
    <cellStyle name="Normal 9 2 4 2 3 4" xfId="9947" xr:uid="{FE0ED822-DA5A-453E-90FA-0B51280CDA86}"/>
    <cellStyle name="Normal 9 2 4 2 4" xfId="1821" xr:uid="{00000000-0005-0000-0000-0000661F0000}"/>
    <cellStyle name="Normal 9 2 4 2 4 2" xfId="4051" xr:uid="{00000000-0005-0000-0000-0000671F0000}"/>
    <cellStyle name="Normal 9 2 4 2 4 2 2" xfId="8273" xr:uid="{00000000-0005-0000-0000-0000681F0000}"/>
    <cellStyle name="Normal 9 2 4 2 4 2 2 2" xfId="16723" xr:uid="{44946777-D5E0-4F17-B082-BFE5DDFE2863}"/>
    <cellStyle name="Normal 9 2 4 2 4 2 3" xfId="12505" xr:uid="{1A1DCAA3-5CD8-4DB1-A50C-C9BB216A7333}"/>
    <cellStyle name="Normal 9 2 4 2 4 3" xfId="6128" xr:uid="{00000000-0005-0000-0000-0000691F0000}"/>
    <cellStyle name="Normal 9 2 4 2 4 3 2" xfId="14578" xr:uid="{6A689A4D-74DE-4E31-B15C-847899441C02}"/>
    <cellStyle name="Normal 9 2 4 2 4 4" xfId="10360" xr:uid="{7F238C52-E42F-4923-BA40-8162A26B963A}"/>
    <cellStyle name="Normal 9 2 4 2 5" xfId="2235" xr:uid="{00000000-0005-0000-0000-00006A1F0000}"/>
    <cellStyle name="Normal 9 2 4 2 5 2" xfId="4464" xr:uid="{00000000-0005-0000-0000-00006B1F0000}"/>
    <cellStyle name="Normal 9 2 4 2 5 2 2" xfId="8686" xr:uid="{00000000-0005-0000-0000-00006C1F0000}"/>
    <cellStyle name="Normal 9 2 4 2 5 2 2 2" xfId="17136" xr:uid="{33A18911-1618-4123-853C-E2C221E2E81A}"/>
    <cellStyle name="Normal 9 2 4 2 5 2 3" xfId="12918" xr:uid="{89C30855-5F45-4ECB-B373-D289420F21F0}"/>
    <cellStyle name="Normal 9 2 4 2 5 3" xfId="6541" xr:uid="{00000000-0005-0000-0000-00006D1F0000}"/>
    <cellStyle name="Normal 9 2 4 2 5 3 2" xfId="14991" xr:uid="{D2AC6AEA-2183-45A7-A4C2-042EB9BBF027}"/>
    <cellStyle name="Normal 9 2 4 2 5 4" xfId="10773" xr:uid="{C877C180-BF1C-49AA-960D-8658BDEA9BE7}"/>
    <cellStyle name="Normal 9 2 4 2 6" xfId="2671" xr:uid="{00000000-0005-0000-0000-00006E1F0000}"/>
    <cellStyle name="Normal 9 2 4 2 6 2" xfId="6954" xr:uid="{00000000-0005-0000-0000-00006F1F0000}"/>
    <cellStyle name="Normal 9 2 4 2 6 2 2" xfId="15404" xr:uid="{A76B87C5-048E-42E3-AD38-31B5934381D4}"/>
    <cellStyle name="Normal 9 2 4 2 6 3" xfId="11186" xr:uid="{43AF06FB-A409-4B1D-A279-7776E909C246}"/>
    <cellStyle name="Normal 9 2 4 2 7" xfId="4889" xr:uid="{00000000-0005-0000-0000-0000701F0000}"/>
    <cellStyle name="Normal 9 2 4 2 7 2" xfId="13339" xr:uid="{9BF632F0-7A2F-462E-BC3C-531BCB5E6F64}"/>
    <cellStyle name="Normal 9 2 4 2 8" xfId="9121" xr:uid="{7D252E1D-8416-4B5B-BD73-D0A63AEA84BC}"/>
    <cellStyle name="Normal 9 2 4 3" xfId="991" xr:uid="{00000000-0005-0000-0000-0000711F0000}"/>
    <cellStyle name="Normal 9 2 4 3 2" xfId="3224" xr:uid="{00000000-0005-0000-0000-0000721F0000}"/>
    <cellStyle name="Normal 9 2 4 3 2 2" xfId="7446" xr:uid="{00000000-0005-0000-0000-0000731F0000}"/>
    <cellStyle name="Normal 9 2 4 3 2 2 2" xfId="15896" xr:uid="{47C5C58F-3C2D-4157-AD0B-F27AD16086D3}"/>
    <cellStyle name="Normal 9 2 4 3 2 3" xfId="11678" xr:uid="{36F17D07-A8EF-4466-857E-BBE9B08C8FC5}"/>
    <cellStyle name="Normal 9 2 4 3 3" xfId="5301" xr:uid="{00000000-0005-0000-0000-0000741F0000}"/>
    <cellStyle name="Normal 9 2 4 3 3 2" xfId="13751" xr:uid="{BFCF65C7-6723-4B3E-BF08-5D2AF942771F}"/>
    <cellStyle name="Normal 9 2 4 3 4" xfId="9533" xr:uid="{044C0F95-D952-4AAB-92B3-2A039F10AB3B}"/>
    <cellStyle name="Normal 9 2 4 4" xfId="1407" xr:uid="{00000000-0005-0000-0000-0000751F0000}"/>
    <cellStyle name="Normal 9 2 4 4 2" xfId="3637" xr:uid="{00000000-0005-0000-0000-0000761F0000}"/>
    <cellStyle name="Normal 9 2 4 4 2 2" xfId="7859" xr:uid="{00000000-0005-0000-0000-0000771F0000}"/>
    <cellStyle name="Normal 9 2 4 4 2 2 2" xfId="16309" xr:uid="{FB3BF2DE-E81B-42C2-A6A4-3C29499E66A7}"/>
    <cellStyle name="Normal 9 2 4 4 2 3" xfId="12091" xr:uid="{A04DE9AA-4F73-4E82-93EE-00E5490EF974}"/>
    <cellStyle name="Normal 9 2 4 4 3" xfId="5714" xr:uid="{00000000-0005-0000-0000-0000781F0000}"/>
    <cellStyle name="Normal 9 2 4 4 3 2" xfId="14164" xr:uid="{6CF09857-33EC-44DF-96CD-2E410A76F7BF}"/>
    <cellStyle name="Normal 9 2 4 4 4" xfId="9946" xr:uid="{F5DEAA61-E310-49BB-98C5-6DC01640295C}"/>
    <cellStyle name="Normal 9 2 4 5" xfId="1820" xr:uid="{00000000-0005-0000-0000-0000791F0000}"/>
    <cellStyle name="Normal 9 2 4 5 2" xfId="4050" xr:uid="{00000000-0005-0000-0000-00007A1F0000}"/>
    <cellStyle name="Normal 9 2 4 5 2 2" xfId="8272" xr:uid="{00000000-0005-0000-0000-00007B1F0000}"/>
    <cellStyle name="Normal 9 2 4 5 2 2 2" xfId="16722" xr:uid="{C5D7C6F1-63EC-4F20-A40F-9FD52909BB1F}"/>
    <cellStyle name="Normal 9 2 4 5 2 3" xfId="12504" xr:uid="{28F9799E-505A-4BD7-888B-AE93355C3237}"/>
    <cellStyle name="Normal 9 2 4 5 3" xfId="6127" xr:uid="{00000000-0005-0000-0000-00007C1F0000}"/>
    <cellStyle name="Normal 9 2 4 5 3 2" xfId="14577" xr:uid="{6F17B25E-F953-4C88-986B-22B56B400CF6}"/>
    <cellStyle name="Normal 9 2 4 5 4" xfId="10359" xr:uid="{ECE9E2E9-DB3D-4295-AC99-21D46568420B}"/>
    <cellStyle name="Normal 9 2 4 6" xfId="2234" xr:uid="{00000000-0005-0000-0000-00007D1F0000}"/>
    <cellStyle name="Normal 9 2 4 6 2" xfId="4463" xr:uid="{00000000-0005-0000-0000-00007E1F0000}"/>
    <cellStyle name="Normal 9 2 4 6 2 2" xfId="8685" xr:uid="{00000000-0005-0000-0000-00007F1F0000}"/>
    <cellStyle name="Normal 9 2 4 6 2 2 2" xfId="17135" xr:uid="{13BA07A5-60C0-4362-B3EF-1CFB111F8FB8}"/>
    <cellStyle name="Normal 9 2 4 6 2 3" xfId="12917" xr:uid="{B0C08DCA-079C-485A-9602-1A013A06BF1C}"/>
    <cellStyle name="Normal 9 2 4 6 3" xfId="6540" xr:uid="{00000000-0005-0000-0000-0000801F0000}"/>
    <cellStyle name="Normal 9 2 4 6 3 2" xfId="14990" xr:uid="{63E518B5-27A5-43C9-949F-E03F1232CC23}"/>
    <cellStyle name="Normal 9 2 4 6 4" xfId="10772" xr:uid="{F00CC3D3-504B-4D29-BE04-A9E523D5C476}"/>
    <cellStyle name="Normal 9 2 4 7" xfId="2670" xr:uid="{00000000-0005-0000-0000-0000811F0000}"/>
    <cellStyle name="Normal 9 2 4 7 2" xfId="6953" xr:uid="{00000000-0005-0000-0000-0000821F0000}"/>
    <cellStyle name="Normal 9 2 4 7 2 2" xfId="15403" xr:uid="{43A31CCB-019E-4698-B4E2-9822A930C7E8}"/>
    <cellStyle name="Normal 9 2 4 7 3" xfId="11185" xr:uid="{079D1420-38BC-4B92-9C1A-C5469F1567E4}"/>
    <cellStyle name="Normal 9 2 4 8" xfId="4888" xr:uid="{00000000-0005-0000-0000-0000831F0000}"/>
    <cellStyle name="Normal 9 2 4 8 2" xfId="13338" xr:uid="{7F38FED4-6E7B-48F2-89C9-B101D6934F6F}"/>
    <cellStyle name="Normal 9 2 4 9" xfId="9120" xr:uid="{932B1A1D-2CB2-480A-B0BA-F51A68CC3D44}"/>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2 2 2" xfId="15898" xr:uid="{744AD51E-AB5B-4C14-80DA-5E93933344AB}"/>
    <cellStyle name="Normal 9 2 5 2 2 3" xfId="11680" xr:uid="{06997860-493E-4EE4-8E50-DF4F06FEA738}"/>
    <cellStyle name="Normal 9 2 5 2 3" xfId="5303" xr:uid="{00000000-0005-0000-0000-0000881F0000}"/>
    <cellStyle name="Normal 9 2 5 2 3 2" xfId="13753" xr:uid="{31B71174-74B1-42AC-A07B-9A23170EC7C2}"/>
    <cellStyle name="Normal 9 2 5 2 4" xfId="9535" xr:uid="{945210AA-D7D1-4A1C-BE7E-D0876AD10AB4}"/>
    <cellStyle name="Normal 9 2 5 3" xfId="1409" xr:uid="{00000000-0005-0000-0000-0000891F0000}"/>
    <cellStyle name="Normal 9 2 5 3 2" xfId="3639" xr:uid="{00000000-0005-0000-0000-00008A1F0000}"/>
    <cellStyle name="Normal 9 2 5 3 2 2" xfId="7861" xr:uid="{00000000-0005-0000-0000-00008B1F0000}"/>
    <cellStyle name="Normal 9 2 5 3 2 2 2" xfId="16311" xr:uid="{129EF7A4-400C-4EFA-A841-621A24D0B53A}"/>
    <cellStyle name="Normal 9 2 5 3 2 3" xfId="12093" xr:uid="{B22CB6BC-A7A4-4567-9069-9D45844D5348}"/>
    <cellStyle name="Normal 9 2 5 3 3" xfId="5716" xr:uid="{00000000-0005-0000-0000-00008C1F0000}"/>
    <cellStyle name="Normal 9 2 5 3 3 2" xfId="14166" xr:uid="{C07B1252-0EB1-4002-BA56-EB9F82DE2AC1}"/>
    <cellStyle name="Normal 9 2 5 3 4" xfId="9948" xr:uid="{EE448AE7-3470-460A-88D9-34AEC3D0F95C}"/>
    <cellStyle name="Normal 9 2 5 4" xfId="1822" xr:uid="{00000000-0005-0000-0000-00008D1F0000}"/>
    <cellStyle name="Normal 9 2 5 4 2" xfId="4052" xr:uid="{00000000-0005-0000-0000-00008E1F0000}"/>
    <cellStyle name="Normal 9 2 5 4 2 2" xfId="8274" xr:uid="{00000000-0005-0000-0000-00008F1F0000}"/>
    <cellStyle name="Normal 9 2 5 4 2 2 2" xfId="16724" xr:uid="{1AD59604-5CF2-46CC-B62A-F6295D59C0A6}"/>
    <cellStyle name="Normal 9 2 5 4 2 3" xfId="12506" xr:uid="{A05941A2-EABE-458D-831D-E66EA7DB0E5B}"/>
    <cellStyle name="Normal 9 2 5 4 3" xfId="6129" xr:uid="{00000000-0005-0000-0000-0000901F0000}"/>
    <cellStyle name="Normal 9 2 5 4 3 2" xfId="14579" xr:uid="{B69AD527-BD08-48EE-97CB-4D8FF0DFAD71}"/>
    <cellStyle name="Normal 9 2 5 4 4" xfId="10361" xr:uid="{967CB0AF-85B1-4C0C-8B4C-8B21B142F6EB}"/>
    <cellStyle name="Normal 9 2 5 5" xfId="2236" xr:uid="{00000000-0005-0000-0000-0000911F0000}"/>
    <cellStyle name="Normal 9 2 5 5 2" xfId="4465" xr:uid="{00000000-0005-0000-0000-0000921F0000}"/>
    <cellStyle name="Normal 9 2 5 5 2 2" xfId="8687" xr:uid="{00000000-0005-0000-0000-0000931F0000}"/>
    <cellStyle name="Normal 9 2 5 5 2 2 2" xfId="17137" xr:uid="{D0BFA4A1-5D8E-49D8-9923-002C0BDA2E1E}"/>
    <cellStyle name="Normal 9 2 5 5 2 3" xfId="12919" xr:uid="{260F2056-F560-45AC-B905-0022661DAD5F}"/>
    <cellStyle name="Normal 9 2 5 5 3" xfId="6542" xr:uid="{00000000-0005-0000-0000-0000941F0000}"/>
    <cellStyle name="Normal 9 2 5 5 3 2" xfId="14992" xr:uid="{97D57B4C-7D41-4178-BD31-B0D7631FDAEE}"/>
    <cellStyle name="Normal 9 2 5 5 4" xfId="10774" xr:uid="{57CC9518-E655-41D3-8254-F7F4005E19A4}"/>
    <cellStyle name="Normal 9 2 5 6" xfId="2672" xr:uid="{00000000-0005-0000-0000-0000951F0000}"/>
    <cellStyle name="Normal 9 2 5 6 2" xfId="6955" xr:uid="{00000000-0005-0000-0000-0000961F0000}"/>
    <cellStyle name="Normal 9 2 5 6 2 2" xfId="15405" xr:uid="{DE780AAF-FA21-42AF-8CCA-B9A580D2D6E2}"/>
    <cellStyle name="Normal 9 2 5 6 3" xfId="11187" xr:uid="{322C633C-9BA3-46D7-A808-236940866918}"/>
    <cellStyle name="Normal 9 2 5 7" xfId="4890" xr:uid="{00000000-0005-0000-0000-0000971F0000}"/>
    <cellStyle name="Normal 9 2 5 7 2" xfId="13340" xr:uid="{CDCF4808-F089-4F7A-BF6A-1EA552AA85CF}"/>
    <cellStyle name="Normal 9 2 5 8" xfId="9122" xr:uid="{708012B3-3ED5-421C-A988-CCDE7F764C98}"/>
    <cellStyle name="Normal 9 2 6" xfId="978" xr:uid="{00000000-0005-0000-0000-0000981F0000}"/>
    <cellStyle name="Normal 9 2 6 2" xfId="3211" xr:uid="{00000000-0005-0000-0000-0000991F0000}"/>
    <cellStyle name="Normal 9 2 6 2 2" xfId="7433" xr:uid="{00000000-0005-0000-0000-00009A1F0000}"/>
    <cellStyle name="Normal 9 2 6 2 2 2" xfId="15883" xr:uid="{391299C5-5045-4725-96CF-D9559E387D11}"/>
    <cellStyle name="Normal 9 2 6 2 3" xfId="11665" xr:uid="{8FA6FD79-B206-456F-86DB-44B8AFC77147}"/>
    <cellStyle name="Normal 9 2 6 3" xfId="5288" xr:uid="{00000000-0005-0000-0000-00009B1F0000}"/>
    <cellStyle name="Normal 9 2 6 3 2" xfId="13738" xr:uid="{3BFD3C7B-63CD-4664-941F-EE0DC723DD00}"/>
    <cellStyle name="Normal 9 2 6 4" xfId="9520" xr:uid="{215FEC35-2359-463E-82DA-038A5554A8E4}"/>
    <cellStyle name="Normal 9 2 7" xfId="1394" xr:uid="{00000000-0005-0000-0000-00009C1F0000}"/>
    <cellStyle name="Normal 9 2 7 2" xfId="3624" xr:uid="{00000000-0005-0000-0000-00009D1F0000}"/>
    <cellStyle name="Normal 9 2 7 2 2" xfId="7846" xr:uid="{00000000-0005-0000-0000-00009E1F0000}"/>
    <cellStyle name="Normal 9 2 7 2 2 2" xfId="16296" xr:uid="{77165A16-B1E7-42AD-9FFB-3F0226FBD0AB}"/>
    <cellStyle name="Normal 9 2 7 2 3" xfId="12078" xr:uid="{1B2D3499-01D4-411A-AF75-94A0BC430923}"/>
    <cellStyle name="Normal 9 2 7 3" xfId="5701" xr:uid="{00000000-0005-0000-0000-00009F1F0000}"/>
    <cellStyle name="Normal 9 2 7 3 2" xfId="14151" xr:uid="{6758F508-3CF7-46D0-8E06-7452589F3293}"/>
    <cellStyle name="Normal 9 2 7 4" xfId="9933" xr:uid="{53AEC4D4-4021-41B1-9DBE-A98F86E3766E}"/>
    <cellStyle name="Normal 9 2 8" xfId="1807" xr:uid="{00000000-0005-0000-0000-0000A01F0000}"/>
    <cellStyle name="Normal 9 2 8 2" xfId="4037" xr:uid="{00000000-0005-0000-0000-0000A11F0000}"/>
    <cellStyle name="Normal 9 2 8 2 2" xfId="8259" xr:uid="{00000000-0005-0000-0000-0000A21F0000}"/>
    <cellStyle name="Normal 9 2 8 2 2 2" xfId="16709" xr:uid="{EC7559C6-874D-470B-A96E-BFBAD427EFA2}"/>
    <cellStyle name="Normal 9 2 8 2 3" xfId="12491" xr:uid="{9721A206-231D-4484-B53E-2E3B22546A7B}"/>
    <cellStyle name="Normal 9 2 8 3" xfId="6114" xr:uid="{00000000-0005-0000-0000-0000A31F0000}"/>
    <cellStyle name="Normal 9 2 8 3 2" xfId="14564" xr:uid="{51277F65-A8BF-4D77-B478-EB9C020EB434}"/>
    <cellStyle name="Normal 9 2 8 4" xfId="10346" xr:uid="{A3DE4DB3-CD05-4B69-9C30-407EB09B8E6D}"/>
    <cellStyle name="Normal 9 2 9" xfId="2221" xr:uid="{00000000-0005-0000-0000-0000A41F0000}"/>
    <cellStyle name="Normal 9 2 9 2" xfId="4450" xr:uid="{00000000-0005-0000-0000-0000A51F0000}"/>
    <cellStyle name="Normal 9 2 9 2 2" xfId="8672" xr:uid="{00000000-0005-0000-0000-0000A61F0000}"/>
    <cellStyle name="Normal 9 2 9 2 2 2" xfId="17122" xr:uid="{7B459A0F-CBFB-4C43-B5D5-A8C10A0AF2AD}"/>
    <cellStyle name="Normal 9 2 9 2 3" xfId="12904" xr:uid="{82F1D5BC-7C00-4488-AE60-35EA463EDE94}"/>
    <cellStyle name="Normal 9 2 9 3" xfId="6527" xr:uid="{00000000-0005-0000-0000-0000A71F0000}"/>
    <cellStyle name="Normal 9 2 9 3 2" xfId="14977" xr:uid="{DB03E0C7-139A-44CA-B37A-7138774B0F88}"/>
    <cellStyle name="Normal 9 2 9 4" xfId="10759" xr:uid="{E337CBC1-4C30-405B-9DE7-B08BF0E2BB55}"/>
    <cellStyle name="Normal 9 3" xfId="527" xr:uid="{00000000-0005-0000-0000-0000A81F0000}"/>
    <cellStyle name="Normal 9 3 10" xfId="4891" xr:uid="{00000000-0005-0000-0000-0000A91F0000}"/>
    <cellStyle name="Normal 9 3 10 2" xfId="13341" xr:uid="{FF68247A-AA3E-4E9A-8DD1-D88CEAA1D540}"/>
    <cellStyle name="Normal 9 3 11" xfId="9123" xr:uid="{2013295A-6027-43A6-A946-03B83A205947}"/>
    <cellStyle name="Normal 9 3 2" xfId="528" xr:uid="{00000000-0005-0000-0000-0000AA1F0000}"/>
    <cellStyle name="Normal 9 3 2 10" xfId="9124" xr:uid="{4F5F4712-549F-4867-94E1-A38B7BD299A9}"/>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2 2 2" xfId="15902" xr:uid="{5A278F3D-66E7-4D63-B9A3-FA9CD892AD75}"/>
    <cellStyle name="Normal 9 3 2 2 2 2 2 3" xfId="11684" xr:uid="{F4C72041-93D5-474C-B510-72290529B298}"/>
    <cellStyle name="Normal 9 3 2 2 2 2 3" xfId="5307" xr:uid="{00000000-0005-0000-0000-0000B01F0000}"/>
    <cellStyle name="Normal 9 3 2 2 2 2 3 2" xfId="13757" xr:uid="{39424F74-DD95-43E4-821B-C72AEF4E31CF}"/>
    <cellStyle name="Normal 9 3 2 2 2 2 4" xfId="9539" xr:uid="{693ADD30-3537-44E0-A8C0-A8D5A4035685}"/>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2 2 2" xfId="16315" xr:uid="{32C891C5-0A84-4001-9247-D2EE205B48DC}"/>
    <cellStyle name="Normal 9 3 2 2 2 3 2 3" xfId="12097" xr:uid="{CBE7646B-5FB1-4FD0-80B5-32B3E986788F}"/>
    <cellStyle name="Normal 9 3 2 2 2 3 3" xfId="5720" xr:uid="{00000000-0005-0000-0000-0000B41F0000}"/>
    <cellStyle name="Normal 9 3 2 2 2 3 3 2" xfId="14170" xr:uid="{0219A546-5ECF-4A9C-B472-F57B539C887C}"/>
    <cellStyle name="Normal 9 3 2 2 2 3 4" xfId="9952" xr:uid="{AEF03BF9-F97E-4BD8-8988-5D1E46C953A5}"/>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2 2 2" xfId="16728" xr:uid="{22FA2E18-152E-4468-8A33-F43BCB001B9C}"/>
    <cellStyle name="Normal 9 3 2 2 2 4 2 3" xfId="12510" xr:uid="{C7A96854-84C4-40B9-8F83-803B2BCBCA06}"/>
    <cellStyle name="Normal 9 3 2 2 2 4 3" xfId="6133" xr:uid="{00000000-0005-0000-0000-0000B81F0000}"/>
    <cellStyle name="Normal 9 3 2 2 2 4 3 2" xfId="14583" xr:uid="{16742947-1D53-46D6-BC1B-34CB754FCEB4}"/>
    <cellStyle name="Normal 9 3 2 2 2 4 4" xfId="10365" xr:uid="{C155264A-3201-4100-BBD2-55DE1DFE1893}"/>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2 2 2" xfId="17141" xr:uid="{9D92FAFE-9948-456F-ADBE-5840D12D35FA}"/>
    <cellStyle name="Normal 9 3 2 2 2 5 2 3" xfId="12923" xr:uid="{EDE5DE7E-10CD-412A-B547-15742559F024}"/>
    <cellStyle name="Normal 9 3 2 2 2 5 3" xfId="6546" xr:uid="{00000000-0005-0000-0000-0000BC1F0000}"/>
    <cellStyle name="Normal 9 3 2 2 2 5 3 2" xfId="14996" xr:uid="{FDF278C7-2557-4344-90C5-2F89CB3455A1}"/>
    <cellStyle name="Normal 9 3 2 2 2 5 4" xfId="10778" xr:uid="{A5D5568B-2168-46E0-9A1F-FF5E73F3DF25}"/>
    <cellStyle name="Normal 9 3 2 2 2 6" xfId="2676" xr:uid="{00000000-0005-0000-0000-0000BD1F0000}"/>
    <cellStyle name="Normal 9 3 2 2 2 6 2" xfId="6959" xr:uid="{00000000-0005-0000-0000-0000BE1F0000}"/>
    <cellStyle name="Normal 9 3 2 2 2 6 2 2" xfId="15409" xr:uid="{E982D344-BB70-4132-A507-A6AA4C2D027D}"/>
    <cellStyle name="Normal 9 3 2 2 2 6 3" xfId="11191" xr:uid="{853F342B-F83E-49B8-A4B6-236987F88EFF}"/>
    <cellStyle name="Normal 9 3 2 2 2 7" xfId="4894" xr:uid="{00000000-0005-0000-0000-0000BF1F0000}"/>
    <cellStyle name="Normal 9 3 2 2 2 7 2" xfId="13344" xr:uid="{F9DE218B-34BE-477D-A989-DF03F2749D42}"/>
    <cellStyle name="Normal 9 3 2 2 2 8" xfId="9126" xr:uid="{35B70AB1-871F-41FD-ABDF-E76189B56220}"/>
    <cellStyle name="Normal 9 3 2 2 3" xfId="996" xr:uid="{00000000-0005-0000-0000-0000C01F0000}"/>
    <cellStyle name="Normal 9 3 2 2 3 2" xfId="3229" xr:uid="{00000000-0005-0000-0000-0000C11F0000}"/>
    <cellStyle name="Normal 9 3 2 2 3 2 2" xfId="7451" xr:uid="{00000000-0005-0000-0000-0000C21F0000}"/>
    <cellStyle name="Normal 9 3 2 2 3 2 2 2" xfId="15901" xr:uid="{D2DAAC3D-B229-4F14-84E5-84E2C26232C8}"/>
    <cellStyle name="Normal 9 3 2 2 3 2 3" xfId="11683" xr:uid="{91C366F6-ACCA-4CD9-9211-A2BC2AC0C35C}"/>
    <cellStyle name="Normal 9 3 2 2 3 3" xfId="5306" xr:uid="{00000000-0005-0000-0000-0000C31F0000}"/>
    <cellStyle name="Normal 9 3 2 2 3 3 2" xfId="13756" xr:uid="{7F333C0E-404D-41AE-B165-5472FBF0A285}"/>
    <cellStyle name="Normal 9 3 2 2 3 4" xfId="9538" xr:uid="{A1D80CE6-E7A0-4C2C-B84A-3A3637E30BE5}"/>
    <cellStyle name="Normal 9 3 2 2 4" xfId="1412" xr:uid="{00000000-0005-0000-0000-0000C41F0000}"/>
    <cellStyle name="Normal 9 3 2 2 4 2" xfId="3642" xr:uid="{00000000-0005-0000-0000-0000C51F0000}"/>
    <cellStyle name="Normal 9 3 2 2 4 2 2" xfId="7864" xr:uid="{00000000-0005-0000-0000-0000C61F0000}"/>
    <cellStyle name="Normal 9 3 2 2 4 2 2 2" xfId="16314" xr:uid="{C3928299-8771-493E-9AE7-16059799018C}"/>
    <cellStyle name="Normal 9 3 2 2 4 2 3" xfId="12096" xr:uid="{51A8630A-5D49-430A-A6D9-796629D372D1}"/>
    <cellStyle name="Normal 9 3 2 2 4 3" xfId="5719" xr:uid="{00000000-0005-0000-0000-0000C71F0000}"/>
    <cellStyle name="Normal 9 3 2 2 4 3 2" xfId="14169" xr:uid="{CE6A3DC0-9D31-456D-BAE7-6FA77CFA38FC}"/>
    <cellStyle name="Normal 9 3 2 2 4 4" xfId="9951" xr:uid="{E8F6ABCA-16B3-4224-89F3-A777A6840C9B}"/>
    <cellStyle name="Normal 9 3 2 2 5" xfId="1825" xr:uid="{00000000-0005-0000-0000-0000C81F0000}"/>
    <cellStyle name="Normal 9 3 2 2 5 2" xfId="4055" xr:uid="{00000000-0005-0000-0000-0000C91F0000}"/>
    <cellStyle name="Normal 9 3 2 2 5 2 2" xfId="8277" xr:uid="{00000000-0005-0000-0000-0000CA1F0000}"/>
    <cellStyle name="Normal 9 3 2 2 5 2 2 2" xfId="16727" xr:uid="{2710E36E-F1EC-4ADF-B4BA-9AE92611B149}"/>
    <cellStyle name="Normal 9 3 2 2 5 2 3" xfId="12509" xr:uid="{91C79477-6754-411E-8806-67F45B61EB98}"/>
    <cellStyle name="Normal 9 3 2 2 5 3" xfId="6132" xr:uid="{00000000-0005-0000-0000-0000CB1F0000}"/>
    <cellStyle name="Normal 9 3 2 2 5 3 2" xfId="14582" xr:uid="{1028D05E-1C4F-432B-8783-F42A58AE0D6C}"/>
    <cellStyle name="Normal 9 3 2 2 5 4" xfId="10364" xr:uid="{4CAA6FF8-FCBD-4024-AA6A-0179FCDF113B}"/>
    <cellStyle name="Normal 9 3 2 2 6" xfId="2239" xr:uid="{00000000-0005-0000-0000-0000CC1F0000}"/>
    <cellStyle name="Normal 9 3 2 2 6 2" xfId="4468" xr:uid="{00000000-0005-0000-0000-0000CD1F0000}"/>
    <cellStyle name="Normal 9 3 2 2 6 2 2" xfId="8690" xr:uid="{00000000-0005-0000-0000-0000CE1F0000}"/>
    <cellStyle name="Normal 9 3 2 2 6 2 2 2" xfId="17140" xr:uid="{5C41DF0A-8C7F-49E7-A784-1DA4B67FD1C9}"/>
    <cellStyle name="Normal 9 3 2 2 6 2 3" xfId="12922" xr:uid="{6F772196-47CF-42FF-9D0B-0E95E9F2BDD9}"/>
    <cellStyle name="Normal 9 3 2 2 6 3" xfId="6545" xr:uid="{00000000-0005-0000-0000-0000CF1F0000}"/>
    <cellStyle name="Normal 9 3 2 2 6 3 2" xfId="14995" xr:uid="{33E95A8E-189E-4681-A6F8-80CDAF225A74}"/>
    <cellStyle name="Normal 9 3 2 2 6 4" xfId="10777" xr:uid="{BFAC84C4-B589-4FD1-9D78-200ACD3DE1AB}"/>
    <cellStyle name="Normal 9 3 2 2 7" xfId="2675" xr:uid="{00000000-0005-0000-0000-0000D01F0000}"/>
    <cellStyle name="Normal 9 3 2 2 7 2" xfId="6958" xr:uid="{00000000-0005-0000-0000-0000D11F0000}"/>
    <cellStyle name="Normal 9 3 2 2 7 2 2" xfId="15408" xr:uid="{972B556B-6622-4416-82F0-9666F6BDB76E}"/>
    <cellStyle name="Normal 9 3 2 2 7 3" xfId="11190" xr:uid="{A605FEA2-567F-492D-982D-186F474A7D78}"/>
    <cellStyle name="Normal 9 3 2 2 8" xfId="4893" xr:uid="{00000000-0005-0000-0000-0000D21F0000}"/>
    <cellStyle name="Normal 9 3 2 2 8 2" xfId="13343" xr:uid="{86607A4E-8CDC-47A8-A9DE-62E5B9E06259}"/>
    <cellStyle name="Normal 9 3 2 2 9" xfId="9125" xr:uid="{174D2960-E666-4706-AABC-B69ACEAE5F52}"/>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2 2 2" xfId="15903" xr:uid="{CD7F9381-F653-4AC6-9C2C-E2B1E18684F1}"/>
    <cellStyle name="Normal 9 3 2 3 2 2 3" xfId="11685" xr:uid="{35B35169-7889-4EDA-A2DC-C37670B7D1AB}"/>
    <cellStyle name="Normal 9 3 2 3 2 3" xfId="5308" xr:uid="{00000000-0005-0000-0000-0000D71F0000}"/>
    <cellStyle name="Normal 9 3 2 3 2 3 2" xfId="13758" xr:uid="{6213CBC1-BA56-46C1-A78B-431EDCA130DA}"/>
    <cellStyle name="Normal 9 3 2 3 2 4" xfId="9540" xr:uid="{E30DFFE9-D6D0-4E33-A5C3-5185631A785C}"/>
    <cellStyle name="Normal 9 3 2 3 3" xfId="1414" xr:uid="{00000000-0005-0000-0000-0000D81F0000}"/>
    <cellStyle name="Normal 9 3 2 3 3 2" xfId="3644" xr:uid="{00000000-0005-0000-0000-0000D91F0000}"/>
    <cellStyle name="Normal 9 3 2 3 3 2 2" xfId="7866" xr:uid="{00000000-0005-0000-0000-0000DA1F0000}"/>
    <cellStyle name="Normal 9 3 2 3 3 2 2 2" xfId="16316" xr:uid="{126856ED-7B2D-4B02-B276-99C9D491A0F9}"/>
    <cellStyle name="Normal 9 3 2 3 3 2 3" xfId="12098" xr:uid="{2FAF0781-332E-48AA-906C-E249657184D8}"/>
    <cellStyle name="Normal 9 3 2 3 3 3" xfId="5721" xr:uid="{00000000-0005-0000-0000-0000DB1F0000}"/>
    <cellStyle name="Normal 9 3 2 3 3 3 2" xfId="14171" xr:uid="{DFA31393-0550-420A-AE00-6C41C12F194B}"/>
    <cellStyle name="Normal 9 3 2 3 3 4" xfId="9953" xr:uid="{0EDE9F53-B28C-46B1-9CD6-656F4B97D72E}"/>
    <cellStyle name="Normal 9 3 2 3 4" xfId="1827" xr:uid="{00000000-0005-0000-0000-0000DC1F0000}"/>
    <cellStyle name="Normal 9 3 2 3 4 2" xfId="4057" xr:uid="{00000000-0005-0000-0000-0000DD1F0000}"/>
    <cellStyle name="Normal 9 3 2 3 4 2 2" xfId="8279" xr:uid="{00000000-0005-0000-0000-0000DE1F0000}"/>
    <cellStyle name="Normal 9 3 2 3 4 2 2 2" xfId="16729" xr:uid="{AFE2C439-2A12-4E2A-A0D1-CC1662FB8E37}"/>
    <cellStyle name="Normal 9 3 2 3 4 2 3" xfId="12511" xr:uid="{63EF7363-2523-4818-9E84-9BE0BFEC9BFE}"/>
    <cellStyle name="Normal 9 3 2 3 4 3" xfId="6134" xr:uid="{00000000-0005-0000-0000-0000DF1F0000}"/>
    <cellStyle name="Normal 9 3 2 3 4 3 2" xfId="14584" xr:uid="{C8F525EC-E987-47E1-ABE6-A07F8A2DB193}"/>
    <cellStyle name="Normal 9 3 2 3 4 4" xfId="10366" xr:uid="{F22275E9-8E9B-487A-9966-2202B4176DEA}"/>
    <cellStyle name="Normal 9 3 2 3 5" xfId="2241" xr:uid="{00000000-0005-0000-0000-0000E01F0000}"/>
    <cellStyle name="Normal 9 3 2 3 5 2" xfId="4470" xr:uid="{00000000-0005-0000-0000-0000E11F0000}"/>
    <cellStyle name="Normal 9 3 2 3 5 2 2" xfId="8692" xr:uid="{00000000-0005-0000-0000-0000E21F0000}"/>
    <cellStyle name="Normal 9 3 2 3 5 2 2 2" xfId="17142" xr:uid="{090F8CF2-A780-486F-A7D2-9F40FFBADFC4}"/>
    <cellStyle name="Normal 9 3 2 3 5 2 3" xfId="12924" xr:uid="{661D9ED3-6EA2-41FA-82A8-B667FFF87BE4}"/>
    <cellStyle name="Normal 9 3 2 3 5 3" xfId="6547" xr:uid="{00000000-0005-0000-0000-0000E31F0000}"/>
    <cellStyle name="Normal 9 3 2 3 5 3 2" xfId="14997" xr:uid="{7878D9C3-5E17-41F0-B8D7-E7BA125F3D4D}"/>
    <cellStyle name="Normal 9 3 2 3 5 4" xfId="10779" xr:uid="{1ECCCB62-9FB3-4AC0-8F4C-4B6C07642774}"/>
    <cellStyle name="Normal 9 3 2 3 6" xfId="2677" xr:uid="{00000000-0005-0000-0000-0000E41F0000}"/>
    <cellStyle name="Normal 9 3 2 3 6 2" xfId="6960" xr:uid="{00000000-0005-0000-0000-0000E51F0000}"/>
    <cellStyle name="Normal 9 3 2 3 6 2 2" xfId="15410" xr:uid="{C87690E8-29CD-4B6E-8C68-FE1C9858F470}"/>
    <cellStyle name="Normal 9 3 2 3 6 3" xfId="11192" xr:uid="{4263A849-F4CC-4D89-8622-3711A3CCE112}"/>
    <cellStyle name="Normal 9 3 2 3 7" xfId="4895" xr:uid="{00000000-0005-0000-0000-0000E61F0000}"/>
    <cellStyle name="Normal 9 3 2 3 7 2" xfId="13345" xr:uid="{B79B7321-21A9-4653-84AA-8DBC7338357D}"/>
    <cellStyle name="Normal 9 3 2 3 8" xfId="9127" xr:uid="{CD56860D-26B9-4578-9AE3-118AC3C1DA17}"/>
    <cellStyle name="Normal 9 3 2 4" xfId="995" xr:uid="{00000000-0005-0000-0000-0000E71F0000}"/>
    <cellStyle name="Normal 9 3 2 4 2" xfId="3228" xr:uid="{00000000-0005-0000-0000-0000E81F0000}"/>
    <cellStyle name="Normal 9 3 2 4 2 2" xfId="7450" xr:uid="{00000000-0005-0000-0000-0000E91F0000}"/>
    <cellStyle name="Normal 9 3 2 4 2 2 2" xfId="15900" xr:uid="{D69D4060-EBE6-4A43-BD8E-37F269555C61}"/>
    <cellStyle name="Normal 9 3 2 4 2 3" xfId="11682" xr:uid="{16E8886A-88F6-4941-9DD0-7D3564E6B4D1}"/>
    <cellStyle name="Normal 9 3 2 4 3" xfId="5305" xr:uid="{00000000-0005-0000-0000-0000EA1F0000}"/>
    <cellStyle name="Normal 9 3 2 4 3 2" xfId="13755" xr:uid="{19627AB3-88D4-467B-8762-DF4D8AD69F55}"/>
    <cellStyle name="Normal 9 3 2 4 4" xfId="9537" xr:uid="{DE1D60E4-20E1-4266-A080-D4FFE31ED85B}"/>
    <cellStyle name="Normal 9 3 2 5" xfId="1411" xr:uid="{00000000-0005-0000-0000-0000EB1F0000}"/>
    <cellStyle name="Normal 9 3 2 5 2" xfId="3641" xr:uid="{00000000-0005-0000-0000-0000EC1F0000}"/>
    <cellStyle name="Normal 9 3 2 5 2 2" xfId="7863" xr:uid="{00000000-0005-0000-0000-0000ED1F0000}"/>
    <cellStyle name="Normal 9 3 2 5 2 2 2" xfId="16313" xr:uid="{2D19C090-6BA8-4B20-BCBB-488782095019}"/>
    <cellStyle name="Normal 9 3 2 5 2 3" xfId="12095" xr:uid="{52784191-2CCD-4AFE-A9E8-4339A144C3C6}"/>
    <cellStyle name="Normal 9 3 2 5 3" xfId="5718" xr:uid="{00000000-0005-0000-0000-0000EE1F0000}"/>
    <cellStyle name="Normal 9 3 2 5 3 2" xfId="14168" xr:uid="{31EE7D69-C5A8-46C5-8A05-07B9C89F66DF}"/>
    <cellStyle name="Normal 9 3 2 5 4" xfId="9950" xr:uid="{2C342D45-36BC-4FF9-9E12-13C125869607}"/>
    <cellStyle name="Normal 9 3 2 6" xfId="1824" xr:uid="{00000000-0005-0000-0000-0000EF1F0000}"/>
    <cellStyle name="Normal 9 3 2 6 2" xfId="4054" xr:uid="{00000000-0005-0000-0000-0000F01F0000}"/>
    <cellStyle name="Normal 9 3 2 6 2 2" xfId="8276" xr:uid="{00000000-0005-0000-0000-0000F11F0000}"/>
    <cellStyle name="Normal 9 3 2 6 2 2 2" xfId="16726" xr:uid="{47F09760-AE11-407A-809E-FB370E99B62E}"/>
    <cellStyle name="Normal 9 3 2 6 2 3" xfId="12508" xr:uid="{858C960A-652B-496E-87E0-0B2197DB05EB}"/>
    <cellStyle name="Normal 9 3 2 6 3" xfId="6131" xr:uid="{00000000-0005-0000-0000-0000F21F0000}"/>
    <cellStyle name="Normal 9 3 2 6 3 2" xfId="14581" xr:uid="{8400A310-2040-4498-86EA-F5A06DDAFA48}"/>
    <cellStyle name="Normal 9 3 2 6 4" xfId="10363" xr:uid="{BB77DCFB-913A-4A79-B163-84796F12F17D}"/>
    <cellStyle name="Normal 9 3 2 7" xfId="2238" xr:uid="{00000000-0005-0000-0000-0000F31F0000}"/>
    <cellStyle name="Normal 9 3 2 7 2" xfId="4467" xr:uid="{00000000-0005-0000-0000-0000F41F0000}"/>
    <cellStyle name="Normal 9 3 2 7 2 2" xfId="8689" xr:uid="{00000000-0005-0000-0000-0000F51F0000}"/>
    <cellStyle name="Normal 9 3 2 7 2 2 2" xfId="17139" xr:uid="{1553E163-9F50-4E99-8417-34DCEF0C8072}"/>
    <cellStyle name="Normal 9 3 2 7 2 3" xfId="12921" xr:uid="{4EFDB12C-34B0-4C96-9D30-649CEBD32812}"/>
    <cellStyle name="Normal 9 3 2 7 3" xfId="6544" xr:uid="{00000000-0005-0000-0000-0000F61F0000}"/>
    <cellStyle name="Normal 9 3 2 7 3 2" xfId="14994" xr:uid="{CA1FB5C6-9CD2-4516-9B55-0727F1AAB29C}"/>
    <cellStyle name="Normal 9 3 2 7 4" xfId="10776" xr:uid="{685E910C-FD19-47B4-B399-E5F68C585EFB}"/>
    <cellStyle name="Normal 9 3 2 8" xfId="2674" xr:uid="{00000000-0005-0000-0000-0000F71F0000}"/>
    <cellStyle name="Normal 9 3 2 8 2" xfId="6957" xr:uid="{00000000-0005-0000-0000-0000F81F0000}"/>
    <cellStyle name="Normal 9 3 2 8 2 2" xfId="15407" xr:uid="{88C6C471-61D4-41F8-9003-BA7D4F4FC690}"/>
    <cellStyle name="Normal 9 3 2 8 3" xfId="11189" xr:uid="{D59C0EC6-87DB-46FF-B3BC-181013774882}"/>
    <cellStyle name="Normal 9 3 2 9" xfId="4892" xr:uid="{00000000-0005-0000-0000-0000F91F0000}"/>
    <cellStyle name="Normal 9 3 2 9 2" xfId="13342" xr:uid="{CF75FA20-F1AC-4854-A5BD-C657E9A89E82}"/>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2 2 2" xfId="15905" xr:uid="{D1F2EC3D-6969-4A2C-B792-50DB08A1FD54}"/>
    <cellStyle name="Normal 9 3 3 2 2 2 3" xfId="11687" xr:uid="{7726465B-1CDA-45C6-81C2-92E9640DF720}"/>
    <cellStyle name="Normal 9 3 3 2 2 3" xfId="5310" xr:uid="{00000000-0005-0000-0000-0000FF1F0000}"/>
    <cellStyle name="Normal 9 3 3 2 2 3 2" xfId="13760" xr:uid="{33C550E6-78FC-4BEE-93B2-F44915673BE8}"/>
    <cellStyle name="Normal 9 3 3 2 2 4" xfId="9542" xr:uid="{FAB09A53-FB03-47E7-B7DD-90ADEBF7D7F2}"/>
    <cellStyle name="Normal 9 3 3 2 3" xfId="1416" xr:uid="{00000000-0005-0000-0000-000000200000}"/>
    <cellStyle name="Normal 9 3 3 2 3 2" xfId="3646" xr:uid="{00000000-0005-0000-0000-000001200000}"/>
    <cellStyle name="Normal 9 3 3 2 3 2 2" xfId="7868" xr:uid="{00000000-0005-0000-0000-000002200000}"/>
    <cellStyle name="Normal 9 3 3 2 3 2 2 2" xfId="16318" xr:uid="{0B33AAC9-99C0-4ECC-B695-EA1CE0CE4209}"/>
    <cellStyle name="Normal 9 3 3 2 3 2 3" xfId="12100" xr:uid="{701D0CB6-6737-4CD0-ADB9-ABD20E41F548}"/>
    <cellStyle name="Normal 9 3 3 2 3 3" xfId="5723" xr:uid="{00000000-0005-0000-0000-000003200000}"/>
    <cellStyle name="Normal 9 3 3 2 3 3 2" xfId="14173" xr:uid="{2835A1FA-FCAF-4ED8-8963-B737BDC7DF34}"/>
    <cellStyle name="Normal 9 3 3 2 3 4" xfId="9955" xr:uid="{F5DDF6DD-24A7-4190-8D33-F39B5AF186C9}"/>
    <cellStyle name="Normal 9 3 3 2 4" xfId="1829" xr:uid="{00000000-0005-0000-0000-000004200000}"/>
    <cellStyle name="Normal 9 3 3 2 4 2" xfId="4059" xr:uid="{00000000-0005-0000-0000-000005200000}"/>
    <cellStyle name="Normal 9 3 3 2 4 2 2" xfId="8281" xr:uid="{00000000-0005-0000-0000-000006200000}"/>
    <cellStyle name="Normal 9 3 3 2 4 2 2 2" xfId="16731" xr:uid="{5D10E8F7-7061-408C-BE2D-7894974E4CED}"/>
    <cellStyle name="Normal 9 3 3 2 4 2 3" xfId="12513" xr:uid="{450685E0-18B2-4558-93DE-7A7EE8F8D2B7}"/>
    <cellStyle name="Normal 9 3 3 2 4 3" xfId="6136" xr:uid="{00000000-0005-0000-0000-000007200000}"/>
    <cellStyle name="Normal 9 3 3 2 4 3 2" xfId="14586" xr:uid="{24F14BB5-A65C-4064-B9ED-8761885FFF1B}"/>
    <cellStyle name="Normal 9 3 3 2 4 4" xfId="10368" xr:uid="{FB396ACF-3933-4477-95DA-E6134A684343}"/>
    <cellStyle name="Normal 9 3 3 2 5" xfId="2243" xr:uid="{00000000-0005-0000-0000-000008200000}"/>
    <cellStyle name="Normal 9 3 3 2 5 2" xfId="4472" xr:uid="{00000000-0005-0000-0000-000009200000}"/>
    <cellStyle name="Normal 9 3 3 2 5 2 2" xfId="8694" xr:uid="{00000000-0005-0000-0000-00000A200000}"/>
    <cellStyle name="Normal 9 3 3 2 5 2 2 2" xfId="17144" xr:uid="{000C3937-8B04-45DE-A842-1E3F966DE5A5}"/>
    <cellStyle name="Normal 9 3 3 2 5 2 3" xfId="12926" xr:uid="{28862628-77AF-460F-A5D2-8B6596E6CC4D}"/>
    <cellStyle name="Normal 9 3 3 2 5 3" xfId="6549" xr:uid="{00000000-0005-0000-0000-00000B200000}"/>
    <cellStyle name="Normal 9 3 3 2 5 3 2" xfId="14999" xr:uid="{8A6623F3-5FF3-481C-8D31-B5F13100B667}"/>
    <cellStyle name="Normal 9 3 3 2 5 4" xfId="10781" xr:uid="{41D1B448-7715-4C72-A56A-37A45468748C}"/>
    <cellStyle name="Normal 9 3 3 2 6" xfId="2679" xr:uid="{00000000-0005-0000-0000-00000C200000}"/>
    <cellStyle name="Normal 9 3 3 2 6 2" xfId="6962" xr:uid="{00000000-0005-0000-0000-00000D200000}"/>
    <cellStyle name="Normal 9 3 3 2 6 2 2" xfId="15412" xr:uid="{3108653C-ED8F-4D7F-AB9D-90944F357EA3}"/>
    <cellStyle name="Normal 9 3 3 2 6 3" xfId="11194" xr:uid="{19AEBF75-C666-445F-A468-830FC8CD41DD}"/>
    <cellStyle name="Normal 9 3 3 2 7" xfId="4897" xr:uid="{00000000-0005-0000-0000-00000E200000}"/>
    <cellStyle name="Normal 9 3 3 2 7 2" xfId="13347" xr:uid="{684B9DF5-D230-440B-B476-8D3A341AC6BE}"/>
    <cellStyle name="Normal 9 3 3 2 8" xfId="9129" xr:uid="{77DADB99-1CB4-43D9-9EB8-6C60462B43D1}"/>
    <cellStyle name="Normal 9 3 3 3" xfId="999" xr:uid="{00000000-0005-0000-0000-00000F200000}"/>
    <cellStyle name="Normal 9 3 3 3 2" xfId="3232" xr:uid="{00000000-0005-0000-0000-000010200000}"/>
    <cellStyle name="Normal 9 3 3 3 2 2" xfId="7454" xr:uid="{00000000-0005-0000-0000-000011200000}"/>
    <cellStyle name="Normal 9 3 3 3 2 2 2" xfId="15904" xr:uid="{FD3C6256-3A4A-4988-A535-20FFD4B309A7}"/>
    <cellStyle name="Normal 9 3 3 3 2 3" xfId="11686" xr:uid="{E328FD78-5D18-4DE2-9ABF-A2D90B0B1FFC}"/>
    <cellStyle name="Normal 9 3 3 3 3" xfId="5309" xr:uid="{00000000-0005-0000-0000-000012200000}"/>
    <cellStyle name="Normal 9 3 3 3 3 2" xfId="13759" xr:uid="{8E92D8A9-7E9D-4A10-9E75-5D6BB382B5CB}"/>
    <cellStyle name="Normal 9 3 3 3 4" xfId="9541" xr:uid="{F0B11284-8541-404D-9464-AD950C7B4570}"/>
    <cellStyle name="Normal 9 3 3 4" xfId="1415" xr:uid="{00000000-0005-0000-0000-000013200000}"/>
    <cellStyle name="Normal 9 3 3 4 2" xfId="3645" xr:uid="{00000000-0005-0000-0000-000014200000}"/>
    <cellStyle name="Normal 9 3 3 4 2 2" xfId="7867" xr:uid="{00000000-0005-0000-0000-000015200000}"/>
    <cellStyle name="Normal 9 3 3 4 2 2 2" xfId="16317" xr:uid="{B667BD94-C6A8-4972-8466-1A035A903AE5}"/>
    <cellStyle name="Normal 9 3 3 4 2 3" xfId="12099" xr:uid="{6E777E98-FFB3-4EE2-8467-794E3CBBD456}"/>
    <cellStyle name="Normal 9 3 3 4 3" xfId="5722" xr:uid="{00000000-0005-0000-0000-000016200000}"/>
    <cellStyle name="Normal 9 3 3 4 3 2" xfId="14172" xr:uid="{A6603489-45F8-41E9-9424-C5414E8817B3}"/>
    <cellStyle name="Normal 9 3 3 4 4" xfId="9954" xr:uid="{15B00679-8B88-425D-AC4E-0C1BA8AE0B59}"/>
    <cellStyle name="Normal 9 3 3 5" xfId="1828" xr:uid="{00000000-0005-0000-0000-000017200000}"/>
    <cellStyle name="Normal 9 3 3 5 2" xfId="4058" xr:uid="{00000000-0005-0000-0000-000018200000}"/>
    <cellStyle name="Normal 9 3 3 5 2 2" xfId="8280" xr:uid="{00000000-0005-0000-0000-000019200000}"/>
    <cellStyle name="Normal 9 3 3 5 2 2 2" xfId="16730" xr:uid="{03BEB213-788D-48B8-A6B5-BE4D3CA61522}"/>
    <cellStyle name="Normal 9 3 3 5 2 3" xfId="12512" xr:uid="{F108F1B0-833F-4256-A92A-BA736C7D900C}"/>
    <cellStyle name="Normal 9 3 3 5 3" xfId="6135" xr:uid="{00000000-0005-0000-0000-00001A200000}"/>
    <cellStyle name="Normal 9 3 3 5 3 2" xfId="14585" xr:uid="{2928CCF8-7C1A-46A4-886B-0D376FBA5F1A}"/>
    <cellStyle name="Normal 9 3 3 5 4" xfId="10367" xr:uid="{12FD7174-BFE3-4D5E-8568-EB9D8B7051B7}"/>
    <cellStyle name="Normal 9 3 3 6" xfId="2242" xr:uid="{00000000-0005-0000-0000-00001B200000}"/>
    <cellStyle name="Normal 9 3 3 6 2" xfId="4471" xr:uid="{00000000-0005-0000-0000-00001C200000}"/>
    <cellStyle name="Normal 9 3 3 6 2 2" xfId="8693" xr:uid="{00000000-0005-0000-0000-00001D200000}"/>
    <cellStyle name="Normal 9 3 3 6 2 2 2" xfId="17143" xr:uid="{7F06EFB1-7B00-44B7-8A00-B145CAE1F8D3}"/>
    <cellStyle name="Normal 9 3 3 6 2 3" xfId="12925" xr:uid="{A8599C65-9218-4AE6-9458-8B7DFB7FEEE5}"/>
    <cellStyle name="Normal 9 3 3 6 3" xfId="6548" xr:uid="{00000000-0005-0000-0000-00001E200000}"/>
    <cellStyle name="Normal 9 3 3 6 3 2" xfId="14998" xr:uid="{46342012-8EDD-4FCC-BDB5-34411BDCF9BC}"/>
    <cellStyle name="Normal 9 3 3 6 4" xfId="10780" xr:uid="{34FE1175-8E88-4085-B3CA-3BFFC18A28BB}"/>
    <cellStyle name="Normal 9 3 3 7" xfId="2678" xr:uid="{00000000-0005-0000-0000-00001F200000}"/>
    <cellStyle name="Normal 9 3 3 7 2" xfId="6961" xr:uid="{00000000-0005-0000-0000-000020200000}"/>
    <cellStyle name="Normal 9 3 3 7 2 2" xfId="15411" xr:uid="{F87A54F3-E165-49A4-B7AC-C740EE531DBA}"/>
    <cellStyle name="Normal 9 3 3 7 3" xfId="11193" xr:uid="{9E282C23-38BF-4761-B5FC-C78C21EFC6B5}"/>
    <cellStyle name="Normal 9 3 3 8" xfId="4896" xr:uid="{00000000-0005-0000-0000-000021200000}"/>
    <cellStyle name="Normal 9 3 3 8 2" xfId="13346" xr:uid="{30DB217F-02A5-457A-B7D1-6A71B06B70D7}"/>
    <cellStyle name="Normal 9 3 3 9" xfId="9128" xr:uid="{09F34372-6DBD-4B89-9728-9F096EE64A1A}"/>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2 2 2" xfId="15906" xr:uid="{8DACE4B0-BDF1-4C8C-B7D9-AA62686B3A82}"/>
    <cellStyle name="Normal 9 3 4 2 2 3" xfId="11688" xr:uid="{618063DD-6D4F-4A21-ACE5-94941AB35637}"/>
    <cellStyle name="Normal 9 3 4 2 3" xfId="5311" xr:uid="{00000000-0005-0000-0000-000026200000}"/>
    <cellStyle name="Normal 9 3 4 2 3 2" xfId="13761" xr:uid="{02E2C236-6DF5-4A42-98FA-8F6551F98177}"/>
    <cellStyle name="Normal 9 3 4 2 4" xfId="9543" xr:uid="{422F8301-F45D-454B-B240-1A0729A4F80D}"/>
    <cellStyle name="Normal 9 3 4 3" xfId="1417" xr:uid="{00000000-0005-0000-0000-000027200000}"/>
    <cellStyle name="Normal 9 3 4 3 2" xfId="3647" xr:uid="{00000000-0005-0000-0000-000028200000}"/>
    <cellStyle name="Normal 9 3 4 3 2 2" xfId="7869" xr:uid="{00000000-0005-0000-0000-000029200000}"/>
    <cellStyle name="Normal 9 3 4 3 2 2 2" xfId="16319" xr:uid="{F4294270-AF49-4504-841B-22095ADA1FDE}"/>
    <cellStyle name="Normal 9 3 4 3 2 3" xfId="12101" xr:uid="{D345D044-7530-4143-94C2-D55B70F3FC2B}"/>
    <cellStyle name="Normal 9 3 4 3 3" xfId="5724" xr:uid="{00000000-0005-0000-0000-00002A200000}"/>
    <cellStyle name="Normal 9 3 4 3 3 2" xfId="14174" xr:uid="{E47AA310-8C00-46D7-9F7D-BBA0F8583BAF}"/>
    <cellStyle name="Normal 9 3 4 3 4" xfId="9956" xr:uid="{8C43689C-51C4-4406-AB74-C504BA11F7DF}"/>
    <cellStyle name="Normal 9 3 4 4" xfId="1830" xr:uid="{00000000-0005-0000-0000-00002B200000}"/>
    <cellStyle name="Normal 9 3 4 4 2" xfId="4060" xr:uid="{00000000-0005-0000-0000-00002C200000}"/>
    <cellStyle name="Normal 9 3 4 4 2 2" xfId="8282" xr:uid="{00000000-0005-0000-0000-00002D200000}"/>
    <cellStyle name="Normal 9 3 4 4 2 2 2" xfId="16732" xr:uid="{8E38C82A-9B76-456A-B53A-F34C1BAC1378}"/>
    <cellStyle name="Normal 9 3 4 4 2 3" xfId="12514" xr:uid="{BED8ED7A-B298-478F-94AB-2168BC9F33C4}"/>
    <cellStyle name="Normal 9 3 4 4 3" xfId="6137" xr:uid="{00000000-0005-0000-0000-00002E200000}"/>
    <cellStyle name="Normal 9 3 4 4 3 2" xfId="14587" xr:uid="{83E12ACA-2EF1-40B4-8629-E2952F38B2CD}"/>
    <cellStyle name="Normal 9 3 4 4 4" xfId="10369" xr:uid="{54923EB4-A3B1-4144-9E33-C76C2CF98CC8}"/>
    <cellStyle name="Normal 9 3 4 5" xfId="2244" xr:uid="{00000000-0005-0000-0000-00002F200000}"/>
    <cellStyle name="Normal 9 3 4 5 2" xfId="4473" xr:uid="{00000000-0005-0000-0000-000030200000}"/>
    <cellStyle name="Normal 9 3 4 5 2 2" xfId="8695" xr:uid="{00000000-0005-0000-0000-000031200000}"/>
    <cellStyle name="Normal 9 3 4 5 2 2 2" xfId="17145" xr:uid="{1D2D84C5-32DC-48C8-ACD9-96856D7A4396}"/>
    <cellStyle name="Normal 9 3 4 5 2 3" xfId="12927" xr:uid="{0A9F0156-67DD-4192-9CB6-E7902F7EC79F}"/>
    <cellStyle name="Normal 9 3 4 5 3" xfId="6550" xr:uid="{00000000-0005-0000-0000-000032200000}"/>
    <cellStyle name="Normal 9 3 4 5 3 2" xfId="15000" xr:uid="{2AE30634-6727-444C-9B75-160FC13F2CA2}"/>
    <cellStyle name="Normal 9 3 4 5 4" xfId="10782" xr:uid="{9BDA89A1-C346-48F0-A6E0-141D75CCF64D}"/>
    <cellStyle name="Normal 9 3 4 6" xfId="2680" xr:uid="{00000000-0005-0000-0000-000033200000}"/>
    <cellStyle name="Normal 9 3 4 6 2" xfId="6963" xr:uid="{00000000-0005-0000-0000-000034200000}"/>
    <cellStyle name="Normal 9 3 4 6 2 2" xfId="15413" xr:uid="{EFEE3C4F-483C-4F00-B574-5068B1EB0B61}"/>
    <cellStyle name="Normal 9 3 4 6 3" xfId="11195" xr:uid="{099A7EA5-A52D-46EF-8991-9AD19FBE809F}"/>
    <cellStyle name="Normal 9 3 4 7" xfId="4898" xr:uid="{00000000-0005-0000-0000-000035200000}"/>
    <cellStyle name="Normal 9 3 4 7 2" xfId="13348" xr:uid="{4CE5D9D5-E76A-4C11-ACDD-FE1011063CE5}"/>
    <cellStyle name="Normal 9 3 4 8" xfId="9130" xr:uid="{4299C211-178A-43C0-A43D-CCD1972F2E51}"/>
    <cellStyle name="Normal 9 3 5" xfId="994" xr:uid="{00000000-0005-0000-0000-000036200000}"/>
    <cellStyle name="Normal 9 3 5 2" xfId="3227" xr:uid="{00000000-0005-0000-0000-000037200000}"/>
    <cellStyle name="Normal 9 3 5 2 2" xfId="7449" xr:uid="{00000000-0005-0000-0000-000038200000}"/>
    <cellStyle name="Normal 9 3 5 2 2 2" xfId="15899" xr:uid="{3B1684FA-8F15-44D0-8DF4-A094E9725445}"/>
    <cellStyle name="Normal 9 3 5 2 3" xfId="11681" xr:uid="{1ED3C360-AE27-4979-8965-37B3EFE85E97}"/>
    <cellStyle name="Normal 9 3 5 3" xfId="5304" xr:uid="{00000000-0005-0000-0000-000039200000}"/>
    <cellStyle name="Normal 9 3 5 3 2" xfId="13754" xr:uid="{B649C3A5-7431-40D9-8693-22C5B81D83E5}"/>
    <cellStyle name="Normal 9 3 5 4" xfId="9536" xr:uid="{A36CCFD2-6B8C-4063-806B-98429AD16454}"/>
    <cellStyle name="Normal 9 3 6" xfId="1410" xr:uid="{00000000-0005-0000-0000-00003A200000}"/>
    <cellStyle name="Normal 9 3 6 2" xfId="3640" xr:uid="{00000000-0005-0000-0000-00003B200000}"/>
    <cellStyle name="Normal 9 3 6 2 2" xfId="7862" xr:uid="{00000000-0005-0000-0000-00003C200000}"/>
    <cellStyle name="Normal 9 3 6 2 2 2" xfId="16312" xr:uid="{F77534EB-52F6-4E89-B138-8E99939A322D}"/>
    <cellStyle name="Normal 9 3 6 2 3" xfId="12094" xr:uid="{87531F5B-B78A-4A10-B532-E7F8B5EBC151}"/>
    <cellStyle name="Normal 9 3 6 3" xfId="5717" xr:uid="{00000000-0005-0000-0000-00003D200000}"/>
    <cellStyle name="Normal 9 3 6 3 2" xfId="14167" xr:uid="{AA4984B6-AB71-46A4-B51A-5804A65B92C6}"/>
    <cellStyle name="Normal 9 3 6 4" xfId="9949" xr:uid="{E3671747-C226-4A8E-AAF2-474ECF7BE707}"/>
    <cellStyle name="Normal 9 3 7" xfId="1823" xr:uid="{00000000-0005-0000-0000-00003E200000}"/>
    <cellStyle name="Normal 9 3 7 2" xfId="4053" xr:uid="{00000000-0005-0000-0000-00003F200000}"/>
    <cellStyle name="Normal 9 3 7 2 2" xfId="8275" xr:uid="{00000000-0005-0000-0000-000040200000}"/>
    <cellStyle name="Normal 9 3 7 2 2 2" xfId="16725" xr:uid="{CE170A79-1134-4D51-9BD4-7F98EE2246A2}"/>
    <cellStyle name="Normal 9 3 7 2 3" xfId="12507" xr:uid="{CFAE87BE-9D69-44FB-81B3-A6119FACF13A}"/>
    <cellStyle name="Normal 9 3 7 3" xfId="6130" xr:uid="{00000000-0005-0000-0000-000041200000}"/>
    <cellStyle name="Normal 9 3 7 3 2" xfId="14580" xr:uid="{3867CE4D-C1AE-4F80-833B-D1647F544D26}"/>
    <cellStyle name="Normal 9 3 7 4" xfId="10362" xr:uid="{0EA6106B-22C2-45E4-BF77-394BE9E4FD02}"/>
    <cellStyle name="Normal 9 3 8" xfId="2237" xr:uid="{00000000-0005-0000-0000-000042200000}"/>
    <cellStyle name="Normal 9 3 8 2" xfId="4466" xr:uid="{00000000-0005-0000-0000-000043200000}"/>
    <cellStyle name="Normal 9 3 8 2 2" xfId="8688" xr:uid="{00000000-0005-0000-0000-000044200000}"/>
    <cellStyle name="Normal 9 3 8 2 2 2" xfId="17138" xr:uid="{11678E12-E06D-4D73-9E36-EEAE54D39D07}"/>
    <cellStyle name="Normal 9 3 8 2 3" xfId="12920" xr:uid="{F3BA8724-7B96-4184-8F43-393DEE7D46B8}"/>
    <cellStyle name="Normal 9 3 8 3" xfId="6543" xr:uid="{00000000-0005-0000-0000-000045200000}"/>
    <cellStyle name="Normal 9 3 8 3 2" xfId="14993" xr:uid="{F40511E0-5A68-4FA8-A7BB-E78E1703FABF}"/>
    <cellStyle name="Normal 9 3 8 4" xfId="10775" xr:uid="{5340C195-8D21-494B-B54E-A309CDBBCC97}"/>
    <cellStyle name="Normal 9 3 9" xfId="2673" xr:uid="{00000000-0005-0000-0000-000046200000}"/>
    <cellStyle name="Normal 9 3 9 2" xfId="6956" xr:uid="{00000000-0005-0000-0000-000047200000}"/>
    <cellStyle name="Normal 9 3 9 2 2" xfId="15406" xr:uid="{52C147D2-B96D-475C-9959-220B85EBCF30}"/>
    <cellStyle name="Normal 9 3 9 3" xfId="11188" xr:uid="{38C9F8EA-F535-40F0-9F38-08CC4EEC4F4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2 2 2" xfId="15908" xr:uid="{0C963D8F-D917-4DAB-B52B-DABFD568DAD9}"/>
    <cellStyle name="Normal 9 5 2 2 2 3" xfId="11690" xr:uid="{4729DD16-106D-404B-BDF1-2DC6E45C0D38}"/>
    <cellStyle name="Normal 9 5 2 2 3" xfId="5313" xr:uid="{00000000-0005-0000-0000-00004F200000}"/>
    <cellStyle name="Normal 9 5 2 2 3 2" xfId="13763" xr:uid="{F2D8E513-6DB3-4243-946A-9C45AF923161}"/>
    <cellStyle name="Normal 9 5 2 2 4" xfId="9545" xr:uid="{7518DCAC-1D1C-4B70-B674-F78EB0D1F4E5}"/>
    <cellStyle name="Normal 9 5 2 3" xfId="1419" xr:uid="{00000000-0005-0000-0000-000050200000}"/>
    <cellStyle name="Normal 9 5 2 3 2" xfId="3649" xr:uid="{00000000-0005-0000-0000-000051200000}"/>
    <cellStyle name="Normal 9 5 2 3 2 2" xfId="7871" xr:uid="{00000000-0005-0000-0000-000052200000}"/>
    <cellStyle name="Normal 9 5 2 3 2 2 2" xfId="16321" xr:uid="{661CAE7B-F1F5-4620-A318-61BB2D4B9E8E}"/>
    <cellStyle name="Normal 9 5 2 3 2 3" xfId="12103" xr:uid="{F3BA9A45-8F6E-44E4-A512-D30220423F60}"/>
    <cellStyle name="Normal 9 5 2 3 3" xfId="5726" xr:uid="{00000000-0005-0000-0000-000053200000}"/>
    <cellStyle name="Normal 9 5 2 3 3 2" xfId="14176" xr:uid="{1510C7E2-D247-45A0-B8C4-0D458DA0A6BE}"/>
    <cellStyle name="Normal 9 5 2 3 4" xfId="9958" xr:uid="{13CF9AC8-D7FC-4E7A-A710-7A19DAC22ABF}"/>
    <cellStyle name="Normal 9 5 2 4" xfId="1832" xr:uid="{00000000-0005-0000-0000-000054200000}"/>
    <cellStyle name="Normal 9 5 2 4 2" xfId="4062" xr:uid="{00000000-0005-0000-0000-000055200000}"/>
    <cellStyle name="Normal 9 5 2 4 2 2" xfId="8284" xr:uid="{00000000-0005-0000-0000-000056200000}"/>
    <cellStyle name="Normal 9 5 2 4 2 2 2" xfId="16734" xr:uid="{25AE17C0-35C6-43B9-815C-7D960DC87807}"/>
    <cellStyle name="Normal 9 5 2 4 2 3" xfId="12516" xr:uid="{97809A3C-B9D1-40E2-A2AF-83F7F12E0F9A}"/>
    <cellStyle name="Normal 9 5 2 4 3" xfId="6139" xr:uid="{00000000-0005-0000-0000-000057200000}"/>
    <cellStyle name="Normal 9 5 2 4 3 2" xfId="14589" xr:uid="{7DA79FD6-4975-42AF-A225-8EC2225A88C8}"/>
    <cellStyle name="Normal 9 5 2 4 4" xfId="10371" xr:uid="{E65C373A-859B-4E1A-A4B4-F0B08E698E87}"/>
    <cellStyle name="Normal 9 5 2 5" xfId="2246" xr:uid="{00000000-0005-0000-0000-000058200000}"/>
    <cellStyle name="Normal 9 5 2 5 2" xfId="4475" xr:uid="{00000000-0005-0000-0000-000059200000}"/>
    <cellStyle name="Normal 9 5 2 5 2 2" xfId="8697" xr:uid="{00000000-0005-0000-0000-00005A200000}"/>
    <cellStyle name="Normal 9 5 2 5 2 2 2" xfId="17147" xr:uid="{5BE0667D-26DD-464D-A8F9-5CEE8F55B6CA}"/>
    <cellStyle name="Normal 9 5 2 5 2 3" xfId="12929" xr:uid="{4ADE3409-DA0B-4D0B-9B05-65C0C4BC69E3}"/>
    <cellStyle name="Normal 9 5 2 5 3" xfId="6552" xr:uid="{00000000-0005-0000-0000-00005B200000}"/>
    <cellStyle name="Normal 9 5 2 5 3 2" xfId="15002" xr:uid="{F6A70907-8A31-4BB8-9AA6-4EF44768B89B}"/>
    <cellStyle name="Normal 9 5 2 5 4" xfId="10784" xr:uid="{D8CFF869-0265-436A-BD63-6F4447B5BD83}"/>
    <cellStyle name="Normal 9 5 2 6" xfId="2682" xr:uid="{00000000-0005-0000-0000-00005C200000}"/>
    <cellStyle name="Normal 9 5 2 6 2" xfId="6965" xr:uid="{00000000-0005-0000-0000-00005D200000}"/>
    <cellStyle name="Normal 9 5 2 6 2 2" xfId="15415" xr:uid="{24A01F68-B50D-49CF-BB54-35912B69CAF1}"/>
    <cellStyle name="Normal 9 5 2 6 3" xfId="11197" xr:uid="{DF3E9323-C9E7-4B88-8DDC-708074C44BD8}"/>
    <cellStyle name="Normal 9 5 2 7" xfId="4900" xr:uid="{00000000-0005-0000-0000-00005E200000}"/>
    <cellStyle name="Normal 9 5 2 7 2" xfId="13350" xr:uid="{FBB34E45-E71A-41DE-B9CB-7A83C72A1DCA}"/>
    <cellStyle name="Normal 9 5 2 8" xfId="9132" xr:uid="{2D5C2350-0FA7-40EE-B3EA-612F93A63D12}"/>
    <cellStyle name="Normal 9 5 3" xfId="1003" xr:uid="{00000000-0005-0000-0000-00005F200000}"/>
    <cellStyle name="Normal 9 5 3 2" xfId="3235" xr:uid="{00000000-0005-0000-0000-000060200000}"/>
    <cellStyle name="Normal 9 5 3 2 2" xfId="7457" xr:uid="{00000000-0005-0000-0000-000061200000}"/>
    <cellStyle name="Normal 9 5 3 2 2 2" xfId="15907" xr:uid="{B582CCFC-223B-4A8D-90A8-5A348A9C59C3}"/>
    <cellStyle name="Normal 9 5 3 2 3" xfId="11689" xr:uid="{2D1A175B-3040-4E20-8106-AEF395E3260F}"/>
    <cellStyle name="Normal 9 5 3 3" xfId="5312" xr:uid="{00000000-0005-0000-0000-000062200000}"/>
    <cellStyle name="Normal 9 5 3 3 2" xfId="13762" xr:uid="{C5CF34CB-F122-4432-BA4C-FF79896CA622}"/>
    <cellStyle name="Normal 9 5 3 4" xfId="9544" xr:uid="{0FECEC34-C802-4C0F-BB61-08E989A33155}"/>
    <cellStyle name="Normal 9 5 4" xfId="1418" xr:uid="{00000000-0005-0000-0000-000063200000}"/>
    <cellStyle name="Normal 9 5 4 2" xfId="3648" xr:uid="{00000000-0005-0000-0000-000064200000}"/>
    <cellStyle name="Normal 9 5 4 2 2" xfId="7870" xr:uid="{00000000-0005-0000-0000-000065200000}"/>
    <cellStyle name="Normal 9 5 4 2 2 2" xfId="16320" xr:uid="{6C5F6F17-9F8C-4FB1-B349-9B4939E45711}"/>
    <cellStyle name="Normal 9 5 4 2 3" xfId="12102" xr:uid="{C3323E20-28F1-47C6-846B-6C3FCFD33455}"/>
    <cellStyle name="Normal 9 5 4 3" xfId="5725" xr:uid="{00000000-0005-0000-0000-000066200000}"/>
    <cellStyle name="Normal 9 5 4 3 2" xfId="14175" xr:uid="{EE669B54-0E11-4D03-981F-65388DCD51A7}"/>
    <cellStyle name="Normal 9 5 4 4" xfId="9957" xr:uid="{5C704BFB-21AA-4919-9AF0-1806149C67B2}"/>
    <cellStyle name="Normal 9 5 5" xfId="1831" xr:uid="{00000000-0005-0000-0000-000067200000}"/>
    <cellStyle name="Normal 9 5 5 2" xfId="4061" xr:uid="{00000000-0005-0000-0000-000068200000}"/>
    <cellStyle name="Normal 9 5 5 2 2" xfId="8283" xr:uid="{00000000-0005-0000-0000-000069200000}"/>
    <cellStyle name="Normal 9 5 5 2 2 2" xfId="16733" xr:uid="{74C6DD1F-8288-466C-9DE5-F31AC0C86951}"/>
    <cellStyle name="Normal 9 5 5 2 3" xfId="12515" xr:uid="{485BD8C8-B69E-4000-AB82-BCBD849C0268}"/>
    <cellStyle name="Normal 9 5 5 3" xfId="6138" xr:uid="{00000000-0005-0000-0000-00006A200000}"/>
    <cellStyle name="Normal 9 5 5 3 2" xfId="14588" xr:uid="{C1EABD76-2888-43B4-9B35-ED6158851579}"/>
    <cellStyle name="Normal 9 5 5 4" xfId="10370" xr:uid="{45F93304-C1C3-40F7-B976-7BF5DFCBDDDC}"/>
    <cellStyle name="Normal 9 5 6" xfId="2245" xr:uid="{00000000-0005-0000-0000-00006B200000}"/>
    <cellStyle name="Normal 9 5 6 2" xfId="4474" xr:uid="{00000000-0005-0000-0000-00006C200000}"/>
    <cellStyle name="Normal 9 5 6 2 2" xfId="8696" xr:uid="{00000000-0005-0000-0000-00006D200000}"/>
    <cellStyle name="Normal 9 5 6 2 2 2" xfId="17146" xr:uid="{EE53EC4B-0A32-46F3-942D-B999C8B1C6EB}"/>
    <cellStyle name="Normal 9 5 6 2 3" xfId="12928" xr:uid="{85A76C8C-B17A-4811-8ABE-AEFC93E2F120}"/>
    <cellStyle name="Normal 9 5 6 3" xfId="6551" xr:uid="{00000000-0005-0000-0000-00006E200000}"/>
    <cellStyle name="Normal 9 5 6 3 2" xfId="15001" xr:uid="{DEFFF50B-3627-4C89-9246-D35377762701}"/>
    <cellStyle name="Normal 9 5 6 4" xfId="10783" xr:uid="{7E96B8EC-FF1A-4774-B50D-9DF56D4D9188}"/>
    <cellStyle name="Normal 9 5 7" xfId="2681" xr:uid="{00000000-0005-0000-0000-00006F200000}"/>
    <cellStyle name="Normal 9 5 7 2" xfId="6964" xr:uid="{00000000-0005-0000-0000-000070200000}"/>
    <cellStyle name="Normal 9 5 7 2 2" xfId="15414" xr:uid="{0A160687-9451-46FD-8A9A-6B9FCA70EE49}"/>
    <cellStyle name="Normal 9 5 7 3" xfId="11196" xr:uid="{E6EDF1B8-465F-4C85-A2A6-1765483E3E9D}"/>
    <cellStyle name="Normal 9 5 8" xfId="4899" xr:uid="{00000000-0005-0000-0000-000071200000}"/>
    <cellStyle name="Normal 9 5 8 2" xfId="13349" xr:uid="{12D7A0CA-9B60-4C1C-A72A-3F6CC4A7ED82}"/>
    <cellStyle name="Normal 9 5 9" xfId="9131" xr:uid="{E1E9EAF6-A4DE-44C7-81EC-9139C5CFE063}"/>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2 2 2" xfId="15909" xr:uid="{D700CE70-6AEF-4BFC-8B06-A1AF63C17221}"/>
    <cellStyle name="Normal 9 6 2 2 3" xfId="11691" xr:uid="{C8C8B5FE-5C9E-4A8A-8D67-D5F675E41695}"/>
    <cellStyle name="Normal 9 6 2 3" xfId="5314" xr:uid="{00000000-0005-0000-0000-000076200000}"/>
    <cellStyle name="Normal 9 6 2 3 2" xfId="13764" xr:uid="{7A14ECBD-5106-4048-8CE1-7E8F756FC385}"/>
    <cellStyle name="Normal 9 6 2 4" xfId="9546" xr:uid="{60B6F280-D592-43FD-927E-451E1A64DB24}"/>
    <cellStyle name="Normal 9 6 3" xfId="1420" xr:uid="{00000000-0005-0000-0000-000077200000}"/>
    <cellStyle name="Normal 9 6 3 2" xfId="3650" xr:uid="{00000000-0005-0000-0000-000078200000}"/>
    <cellStyle name="Normal 9 6 3 2 2" xfId="7872" xr:uid="{00000000-0005-0000-0000-000079200000}"/>
    <cellStyle name="Normal 9 6 3 2 2 2" xfId="16322" xr:uid="{EECFF0F8-A92F-4764-B90B-BD46F10DD162}"/>
    <cellStyle name="Normal 9 6 3 2 3" xfId="12104" xr:uid="{3784FA16-116C-4664-81F5-4913F01E3967}"/>
    <cellStyle name="Normal 9 6 3 3" xfId="5727" xr:uid="{00000000-0005-0000-0000-00007A200000}"/>
    <cellStyle name="Normal 9 6 3 3 2" xfId="14177" xr:uid="{5FE02455-B9AD-4FB0-8E4E-51CE006960F2}"/>
    <cellStyle name="Normal 9 6 3 4" xfId="9959" xr:uid="{31F12B2E-B286-4A91-A705-F934B924FF4B}"/>
    <cellStyle name="Normal 9 6 4" xfId="1833" xr:uid="{00000000-0005-0000-0000-00007B200000}"/>
    <cellStyle name="Normal 9 6 4 2" xfId="4063" xr:uid="{00000000-0005-0000-0000-00007C200000}"/>
    <cellStyle name="Normal 9 6 4 2 2" xfId="8285" xr:uid="{00000000-0005-0000-0000-00007D200000}"/>
    <cellStyle name="Normal 9 6 4 2 2 2" xfId="16735" xr:uid="{B7B26D4C-FCA6-4765-A09C-465CDAA438DA}"/>
    <cellStyle name="Normal 9 6 4 2 3" xfId="12517" xr:uid="{77A08782-94A6-4044-9B73-BF703A19C231}"/>
    <cellStyle name="Normal 9 6 4 3" xfId="6140" xr:uid="{00000000-0005-0000-0000-00007E200000}"/>
    <cellStyle name="Normal 9 6 4 3 2" xfId="14590" xr:uid="{9015C3E5-35AD-4721-89F5-4DEBEA96B95F}"/>
    <cellStyle name="Normal 9 6 4 4" xfId="10372" xr:uid="{C7FB2371-1521-4048-9B12-8E331BB499EE}"/>
    <cellStyle name="Normal 9 6 5" xfId="2247" xr:uid="{00000000-0005-0000-0000-00007F200000}"/>
    <cellStyle name="Normal 9 6 5 2" xfId="4476" xr:uid="{00000000-0005-0000-0000-000080200000}"/>
    <cellStyle name="Normal 9 6 5 2 2" xfId="8698" xr:uid="{00000000-0005-0000-0000-000081200000}"/>
    <cellStyle name="Normal 9 6 5 2 2 2" xfId="17148" xr:uid="{74CFF0FE-79AB-46C1-8AE5-46A6FC5605E1}"/>
    <cellStyle name="Normal 9 6 5 2 3" xfId="12930" xr:uid="{2266D820-823A-4CA1-B781-150BDF0BEF56}"/>
    <cellStyle name="Normal 9 6 5 3" xfId="6553" xr:uid="{00000000-0005-0000-0000-000082200000}"/>
    <cellStyle name="Normal 9 6 5 3 2" xfId="15003" xr:uid="{8670E632-F162-4EE4-B674-D8ED46FFD32E}"/>
    <cellStyle name="Normal 9 6 5 4" xfId="10785" xr:uid="{F12CA483-FFEB-4FBF-BD53-405BF8C18638}"/>
    <cellStyle name="Normal 9 6 6" xfId="2683" xr:uid="{00000000-0005-0000-0000-000083200000}"/>
    <cellStyle name="Normal 9 6 6 2" xfId="6966" xr:uid="{00000000-0005-0000-0000-000084200000}"/>
    <cellStyle name="Normal 9 6 6 2 2" xfId="15416" xr:uid="{201FF50C-4126-446B-A63A-BFE59E6DBC97}"/>
    <cellStyle name="Normal 9 6 6 3" xfId="11198" xr:uid="{97AA4C96-54EC-41BA-A9A8-986F3D0B38A0}"/>
    <cellStyle name="Normal 9 6 7" xfId="4901" xr:uid="{00000000-0005-0000-0000-000085200000}"/>
    <cellStyle name="Normal 9 6 7 2" xfId="13351" xr:uid="{0A9DD27D-01A3-4FDC-8681-A6BCAD8C841E}"/>
    <cellStyle name="Normal 9 6 8" xfId="9133" xr:uid="{BE3C625C-32D8-4A96-A49E-728779A5A9C5}"/>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0 2 2" xfId="15497" xr:uid="{81C48A6B-2FF9-4581-B0BE-A30D944B85DB}"/>
    <cellStyle name="Note 2 2 10 3" xfId="11279" xr:uid="{7CC84253-8D35-49FE-ABCF-83C90F2FCB44}"/>
    <cellStyle name="Note 2 2 11" xfId="4902" xr:uid="{00000000-0005-0000-0000-000094200000}"/>
    <cellStyle name="Note 2 2 11 2" xfId="13352" xr:uid="{3E26F3A3-E349-42DC-8688-D441DA8837C0}"/>
    <cellStyle name="Note 2 2 12" xfId="9134" xr:uid="{906C55F5-8EDC-41DA-9E49-A3741B0D7BA9}"/>
    <cellStyle name="Note 2 2 2" xfId="546" xr:uid="{00000000-0005-0000-0000-000095200000}"/>
    <cellStyle name="Note 2 2 2 10" xfId="4903" xr:uid="{00000000-0005-0000-0000-000096200000}"/>
    <cellStyle name="Note 2 2 2 10 2" xfId="13353" xr:uid="{22FC80FB-2FEB-4B74-A086-B5B43753AE4B}"/>
    <cellStyle name="Note 2 2 2 11" xfId="9135" xr:uid="{23006246-08D8-4C3F-A7F7-83B110D786FE}"/>
    <cellStyle name="Note 2 2 2 2" xfId="547" xr:uid="{00000000-0005-0000-0000-000097200000}"/>
    <cellStyle name="Note 2 2 2 2 10" xfId="9136" xr:uid="{2F8B32E6-67FE-4FDB-B168-08D009B477EC}"/>
    <cellStyle name="Note 2 2 2 2 2" xfId="1008" xr:uid="{00000000-0005-0000-0000-000098200000}"/>
    <cellStyle name="Note 2 2 2 2 2 2" xfId="3240" xr:uid="{00000000-0005-0000-0000-000099200000}"/>
    <cellStyle name="Note 2 2 2 2 2 2 2" xfId="7462" xr:uid="{00000000-0005-0000-0000-00009A200000}"/>
    <cellStyle name="Note 2 2 2 2 2 2 2 2" xfId="15912" xr:uid="{96F690EF-9CC8-479E-8CD3-98B7F6754EE0}"/>
    <cellStyle name="Note 2 2 2 2 2 2 3" xfId="11694" xr:uid="{8B4D85B9-2C9E-4466-83F1-BD7B015F9BC9}"/>
    <cellStyle name="Note 2 2 2 2 2 3" xfId="5317" xr:uid="{00000000-0005-0000-0000-00009B200000}"/>
    <cellStyle name="Note 2 2 2 2 2 3 2" xfId="13767" xr:uid="{B200D443-BB80-42AD-BB0F-2F91292C41DD}"/>
    <cellStyle name="Note 2 2 2 2 2 4" xfId="9549" xr:uid="{B3F0B054-1B03-4540-A228-8C1BAF80388B}"/>
    <cellStyle name="Note 2 2 2 2 3" xfId="1423" xr:uid="{00000000-0005-0000-0000-00009C200000}"/>
    <cellStyle name="Note 2 2 2 2 3 2" xfId="3653" xr:uid="{00000000-0005-0000-0000-00009D200000}"/>
    <cellStyle name="Note 2 2 2 2 3 2 2" xfId="7875" xr:uid="{00000000-0005-0000-0000-00009E200000}"/>
    <cellStyle name="Note 2 2 2 2 3 2 2 2" xfId="16325" xr:uid="{AC7A3E05-F25A-4FDF-8835-321A7393689B}"/>
    <cellStyle name="Note 2 2 2 2 3 2 3" xfId="12107" xr:uid="{7B5DDE5C-3F70-4B85-8EB6-A5E75BC43002}"/>
    <cellStyle name="Note 2 2 2 2 3 3" xfId="5730" xr:uid="{00000000-0005-0000-0000-00009F200000}"/>
    <cellStyle name="Note 2 2 2 2 3 3 2" xfId="14180" xr:uid="{315E412E-C6C6-403F-89E6-734146B4E135}"/>
    <cellStyle name="Note 2 2 2 2 3 4" xfId="9962" xr:uid="{2F64D5C6-83EF-4E95-B23A-80BAFB5D0275}"/>
    <cellStyle name="Note 2 2 2 2 4" xfId="1837" xr:uid="{00000000-0005-0000-0000-0000A0200000}"/>
    <cellStyle name="Note 2 2 2 2 4 2" xfId="4066" xr:uid="{00000000-0005-0000-0000-0000A1200000}"/>
    <cellStyle name="Note 2 2 2 2 4 2 2" xfId="8288" xr:uid="{00000000-0005-0000-0000-0000A2200000}"/>
    <cellStyle name="Note 2 2 2 2 4 2 2 2" xfId="16738" xr:uid="{079272EB-0384-4125-8848-EA6D6798DB7A}"/>
    <cellStyle name="Note 2 2 2 2 4 2 3" xfId="12520" xr:uid="{D4AE4DB4-4216-4E00-BAEC-6C53C50367BE}"/>
    <cellStyle name="Note 2 2 2 2 4 3" xfId="6143" xr:uid="{00000000-0005-0000-0000-0000A3200000}"/>
    <cellStyle name="Note 2 2 2 2 4 3 2" xfId="14593" xr:uid="{5492DAAB-A4E4-45EC-B4D2-5E384E9F848B}"/>
    <cellStyle name="Note 2 2 2 2 4 4" xfId="10375" xr:uid="{14877916-A578-4756-B592-33C643F20178}"/>
    <cellStyle name="Note 2 2 2 2 5" xfId="2250" xr:uid="{00000000-0005-0000-0000-0000A4200000}"/>
    <cellStyle name="Note 2 2 2 2 5 2" xfId="4479" xr:uid="{00000000-0005-0000-0000-0000A5200000}"/>
    <cellStyle name="Note 2 2 2 2 5 2 2" xfId="8701" xr:uid="{00000000-0005-0000-0000-0000A6200000}"/>
    <cellStyle name="Note 2 2 2 2 5 2 2 2" xfId="17151" xr:uid="{E08D5730-A16F-4322-996D-E569ACD4AC27}"/>
    <cellStyle name="Note 2 2 2 2 5 2 3" xfId="12933" xr:uid="{8BDA3B50-F2CA-456E-8695-DEB339A09EAE}"/>
    <cellStyle name="Note 2 2 2 2 5 3" xfId="6556" xr:uid="{00000000-0005-0000-0000-0000A7200000}"/>
    <cellStyle name="Note 2 2 2 2 5 3 2" xfId="15006" xr:uid="{93212613-8338-4D87-B37F-649D7FF3656A}"/>
    <cellStyle name="Note 2 2 2 2 5 4" xfId="10788" xr:uid="{92830C68-632A-433B-9767-3DAF9B0CD9E7}"/>
    <cellStyle name="Note 2 2 2 2 6" xfId="2686" xr:uid="{00000000-0005-0000-0000-0000A8200000}"/>
    <cellStyle name="Note 2 2 2 2 6 2" xfId="6969" xr:uid="{00000000-0005-0000-0000-0000A9200000}"/>
    <cellStyle name="Note 2 2 2 2 6 2 2" xfId="15419" xr:uid="{502EDDB5-021C-4306-9161-562D5B4072A0}"/>
    <cellStyle name="Note 2 2 2 2 6 3" xfId="11201" xr:uid="{1D1D7E0F-9DE9-4991-AEDE-0ADE6E5658CB}"/>
    <cellStyle name="Note 2 2 2 2 7" xfId="2745" xr:uid="{00000000-0005-0000-0000-0000AA200000}"/>
    <cellStyle name="Note 2 2 2 2 8" xfId="2826" xr:uid="{00000000-0005-0000-0000-0000AB200000}"/>
    <cellStyle name="Note 2 2 2 2 8 2" xfId="7049" xr:uid="{00000000-0005-0000-0000-0000AC200000}"/>
    <cellStyle name="Note 2 2 2 2 8 2 2" xfId="15499" xr:uid="{40CFDEC2-3309-4D83-AE84-32AE5AB09696}"/>
    <cellStyle name="Note 2 2 2 2 8 3" xfId="11281" xr:uid="{A528D17F-5715-4295-B9D3-9E62BAE2A1B2}"/>
    <cellStyle name="Note 2 2 2 2 9" xfId="4904" xr:uid="{00000000-0005-0000-0000-0000AD200000}"/>
    <cellStyle name="Note 2 2 2 2 9 2" xfId="13354" xr:uid="{9F2C7E53-F8E4-45EB-B004-A92536F0B2EB}"/>
    <cellStyle name="Note 2 2 2 3" xfId="1007" xr:uid="{00000000-0005-0000-0000-0000AE200000}"/>
    <cellStyle name="Note 2 2 2 3 2" xfId="3239" xr:uid="{00000000-0005-0000-0000-0000AF200000}"/>
    <cellStyle name="Note 2 2 2 3 2 2" xfId="7461" xr:uid="{00000000-0005-0000-0000-0000B0200000}"/>
    <cellStyle name="Note 2 2 2 3 2 2 2" xfId="15911" xr:uid="{5EB5FA46-F60B-472B-B542-99922012EA38}"/>
    <cellStyle name="Note 2 2 2 3 2 3" xfId="11693" xr:uid="{5F5F2C35-C105-4A16-B0E8-21D5356FF2B3}"/>
    <cellStyle name="Note 2 2 2 3 3" xfId="5316" xr:uid="{00000000-0005-0000-0000-0000B1200000}"/>
    <cellStyle name="Note 2 2 2 3 3 2" xfId="13766" xr:uid="{AE128748-4D7B-410F-A2DF-94E3A0A1EBEB}"/>
    <cellStyle name="Note 2 2 2 3 4" xfId="9548" xr:uid="{2600FA92-1F98-4593-852F-F3DAADC2511D}"/>
    <cellStyle name="Note 2 2 2 4" xfId="1422" xr:uid="{00000000-0005-0000-0000-0000B2200000}"/>
    <cellStyle name="Note 2 2 2 4 2" xfId="3652" xr:uid="{00000000-0005-0000-0000-0000B3200000}"/>
    <cellStyle name="Note 2 2 2 4 2 2" xfId="7874" xr:uid="{00000000-0005-0000-0000-0000B4200000}"/>
    <cellStyle name="Note 2 2 2 4 2 2 2" xfId="16324" xr:uid="{C46BF16C-3DB3-4965-A113-8CE3852D5924}"/>
    <cellStyle name="Note 2 2 2 4 2 3" xfId="12106" xr:uid="{47596A9D-DDA8-434D-B793-DB395DEBB6D5}"/>
    <cellStyle name="Note 2 2 2 4 3" xfId="5729" xr:uid="{00000000-0005-0000-0000-0000B5200000}"/>
    <cellStyle name="Note 2 2 2 4 3 2" xfId="14179" xr:uid="{3BECED27-9963-4E1F-896D-518A97BC62AB}"/>
    <cellStyle name="Note 2 2 2 4 4" xfId="9961" xr:uid="{98C619D0-2DE4-4C9A-8A85-6BC77B8868CB}"/>
    <cellStyle name="Note 2 2 2 5" xfId="1836" xr:uid="{00000000-0005-0000-0000-0000B6200000}"/>
    <cellStyle name="Note 2 2 2 5 2" xfId="4065" xr:uid="{00000000-0005-0000-0000-0000B7200000}"/>
    <cellStyle name="Note 2 2 2 5 2 2" xfId="8287" xr:uid="{00000000-0005-0000-0000-0000B8200000}"/>
    <cellStyle name="Note 2 2 2 5 2 2 2" xfId="16737" xr:uid="{5BFE2EF3-F740-489F-BF44-CCDA0BEB1F06}"/>
    <cellStyle name="Note 2 2 2 5 2 3" xfId="12519" xr:uid="{054CB715-934D-46E0-AFAA-477914DEF98C}"/>
    <cellStyle name="Note 2 2 2 5 3" xfId="6142" xr:uid="{00000000-0005-0000-0000-0000B9200000}"/>
    <cellStyle name="Note 2 2 2 5 3 2" xfId="14592" xr:uid="{9232CC4D-E20E-48A4-9383-82752C2774C9}"/>
    <cellStyle name="Note 2 2 2 5 4" xfId="10374" xr:uid="{3E2E8BE7-B215-47E7-BE8E-848C18E5DD8A}"/>
    <cellStyle name="Note 2 2 2 6" xfId="2249" xr:uid="{00000000-0005-0000-0000-0000BA200000}"/>
    <cellStyle name="Note 2 2 2 6 2" xfId="4478" xr:uid="{00000000-0005-0000-0000-0000BB200000}"/>
    <cellStyle name="Note 2 2 2 6 2 2" xfId="8700" xr:uid="{00000000-0005-0000-0000-0000BC200000}"/>
    <cellStyle name="Note 2 2 2 6 2 2 2" xfId="17150" xr:uid="{EEA38D11-61F5-4FE9-ACAA-536D44280FFB}"/>
    <cellStyle name="Note 2 2 2 6 2 3" xfId="12932" xr:uid="{7456E138-12E7-45BB-9290-D89195E3A00E}"/>
    <cellStyle name="Note 2 2 2 6 3" xfId="6555" xr:uid="{00000000-0005-0000-0000-0000BD200000}"/>
    <cellStyle name="Note 2 2 2 6 3 2" xfId="15005" xr:uid="{9CC55D8D-B90F-458B-AFE2-C1AD6A31EE2E}"/>
    <cellStyle name="Note 2 2 2 6 4" xfId="10787" xr:uid="{74CD35BB-873D-4E7E-980D-D3EB939F33B1}"/>
    <cellStyle name="Note 2 2 2 7" xfId="2685" xr:uid="{00000000-0005-0000-0000-0000BE200000}"/>
    <cellStyle name="Note 2 2 2 7 2" xfId="6968" xr:uid="{00000000-0005-0000-0000-0000BF200000}"/>
    <cellStyle name="Note 2 2 2 7 2 2" xfId="15418" xr:uid="{680617E2-FEE8-4A95-AD25-3856929148BD}"/>
    <cellStyle name="Note 2 2 2 7 3" xfId="11200" xr:uid="{B16F9F2A-4E24-4B26-80AB-65EFEA8D367F}"/>
    <cellStyle name="Note 2 2 2 8" xfId="2744" xr:uid="{00000000-0005-0000-0000-0000C0200000}"/>
    <cellStyle name="Note 2 2 2 9" xfId="2825" xr:uid="{00000000-0005-0000-0000-0000C1200000}"/>
    <cellStyle name="Note 2 2 2 9 2" xfId="7048" xr:uid="{00000000-0005-0000-0000-0000C2200000}"/>
    <cellStyle name="Note 2 2 2 9 2 2" xfId="15498" xr:uid="{CAF85E5E-2F36-4806-9417-3214F42CC0E9}"/>
    <cellStyle name="Note 2 2 2 9 3" xfId="11280" xr:uid="{100D8852-85E0-47EF-86D5-593441E08F33}"/>
    <cellStyle name="Note 2 2 3" xfId="548" xr:uid="{00000000-0005-0000-0000-0000C3200000}"/>
    <cellStyle name="Note 2 2 3 10" xfId="9137" xr:uid="{3A1B0C52-D437-4EBC-B454-2F62E25348B5}"/>
    <cellStyle name="Note 2 2 3 2" xfId="1009" xr:uid="{00000000-0005-0000-0000-0000C4200000}"/>
    <cellStyle name="Note 2 2 3 2 2" xfId="3241" xr:uid="{00000000-0005-0000-0000-0000C5200000}"/>
    <cellStyle name="Note 2 2 3 2 2 2" xfId="7463" xr:uid="{00000000-0005-0000-0000-0000C6200000}"/>
    <cellStyle name="Note 2 2 3 2 2 2 2" xfId="15913" xr:uid="{AD62088E-CBB4-4A06-87DE-B188D2B7DF6E}"/>
    <cellStyle name="Note 2 2 3 2 2 3" xfId="11695" xr:uid="{D949B0AD-15C0-4079-9F79-0465947DD62E}"/>
    <cellStyle name="Note 2 2 3 2 3" xfId="5318" xr:uid="{00000000-0005-0000-0000-0000C7200000}"/>
    <cellStyle name="Note 2 2 3 2 3 2" xfId="13768" xr:uid="{FBEC8CB8-014A-4C70-B1B0-86FC64CB6E2A}"/>
    <cellStyle name="Note 2 2 3 2 4" xfId="9550" xr:uid="{1AB1E596-114A-46B0-A5CF-41D3FBC47EDA}"/>
    <cellStyle name="Note 2 2 3 3" xfId="1424" xr:uid="{00000000-0005-0000-0000-0000C8200000}"/>
    <cellStyle name="Note 2 2 3 3 2" xfId="3654" xr:uid="{00000000-0005-0000-0000-0000C9200000}"/>
    <cellStyle name="Note 2 2 3 3 2 2" xfId="7876" xr:uid="{00000000-0005-0000-0000-0000CA200000}"/>
    <cellStyle name="Note 2 2 3 3 2 2 2" xfId="16326" xr:uid="{2E989D74-662B-48FD-AF82-A03CA948B293}"/>
    <cellStyle name="Note 2 2 3 3 2 3" xfId="12108" xr:uid="{6863AEA1-3A94-4CCB-92F9-B74130F3B440}"/>
    <cellStyle name="Note 2 2 3 3 3" xfId="5731" xr:uid="{00000000-0005-0000-0000-0000CB200000}"/>
    <cellStyle name="Note 2 2 3 3 3 2" xfId="14181" xr:uid="{06000FFA-20C1-4A66-858F-1DC1DA89E537}"/>
    <cellStyle name="Note 2 2 3 3 4" xfId="9963" xr:uid="{D9CE0F99-FF02-460B-9299-7D8EC8DAD956}"/>
    <cellStyle name="Note 2 2 3 4" xfId="1838" xr:uid="{00000000-0005-0000-0000-0000CC200000}"/>
    <cellStyle name="Note 2 2 3 4 2" xfId="4067" xr:uid="{00000000-0005-0000-0000-0000CD200000}"/>
    <cellStyle name="Note 2 2 3 4 2 2" xfId="8289" xr:uid="{00000000-0005-0000-0000-0000CE200000}"/>
    <cellStyle name="Note 2 2 3 4 2 2 2" xfId="16739" xr:uid="{DF2D2FB5-F2FF-4175-9D68-139B3863E0E2}"/>
    <cellStyle name="Note 2 2 3 4 2 3" xfId="12521" xr:uid="{E891D218-7B79-4032-A873-1E3C73BD3418}"/>
    <cellStyle name="Note 2 2 3 4 3" xfId="6144" xr:uid="{00000000-0005-0000-0000-0000CF200000}"/>
    <cellStyle name="Note 2 2 3 4 3 2" xfId="14594" xr:uid="{ADCC9342-3B00-4426-8838-F3C3F28C1919}"/>
    <cellStyle name="Note 2 2 3 4 4" xfId="10376" xr:uid="{CB8B5DAD-6817-4824-AA82-4B6735072B08}"/>
    <cellStyle name="Note 2 2 3 5" xfId="2251" xr:uid="{00000000-0005-0000-0000-0000D0200000}"/>
    <cellStyle name="Note 2 2 3 5 2" xfId="4480" xr:uid="{00000000-0005-0000-0000-0000D1200000}"/>
    <cellStyle name="Note 2 2 3 5 2 2" xfId="8702" xr:uid="{00000000-0005-0000-0000-0000D2200000}"/>
    <cellStyle name="Note 2 2 3 5 2 2 2" xfId="17152" xr:uid="{CCBD3548-4A0F-4244-A97D-C0BB93E0E787}"/>
    <cellStyle name="Note 2 2 3 5 2 3" xfId="12934" xr:uid="{6B38357B-8E93-428D-BAB9-8F66D6D6E718}"/>
    <cellStyle name="Note 2 2 3 5 3" xfId="6557" xr:uid="{00000000-0005-0000-0000-0000D3200000}"/>
    <cellStyle name="Note 2 2 3 5 3 2" xfId="15007" xr:uid="{F7ED0296-0351-4FFF-98C3-5464158744AF}"/>
    <cellStyle name="Note 2 2 3 5 4" xfId="10789" xr:uid="{7C1783CF-3CED-4B6C-98C4-3D04E4A02024}"/>
    <cellStyle name="Note 2 2 3 6" xfId="2687" xr:uid="{00000000-0005-0000-0000-0000D4200000}"/>
    <cellStyle name="Note 2 2 3 6 2" xfId="6970" xr:uid="{00000000-0005-0000-0000-0000D5200000}"/>
    <cellStyle name="Note 2 2 3 6 2 2" xfId="15420" xr:uid="{D350F67A-DF0C-484C-B1C6-7CE8A4C78C9C}"/>
    <cellStyle name="Note 2 2 3 6 3" xfId="11202" xr:uid="{E95251D8-A0C1-4DDB-999C-34ECB5433611}"/>
    <cellStyle name="Note 2 2 3 7" xfId="2746" xr:uid="{00000000-0005-0000-0000-0000D6200000}"/>
    <cellStyle name="Note 2 2 3 8" xfId="2827" xr:uid="{00000000-0005-0000-0000-0000D7200000}"/>
    <cellStyle name="Note 2 2 3 8 2" xfId="7050" xr:uid="{00000000-0005-0000-0000-0000D8200000}"/>
    <cellStyle name="Note 2 2 3 8 2 2" xfId="15500" xr:uid="{55495F67-4E28-4D99-B62A-16BADA5957A1}"/>
    <cellStyle name="Note 2 2 3 8 3" xfId="11282" xr:uid="{3649E57B-3923-4911-ADB5-0DE2E90CDFD2}"/>
    <cellStyle name="Note 2 2 3 9" xfId="4905" xr:uid="{00000000-0005-0000-0000-0000D9200000}"/>
    <cellStyle name="Note 2 2 3 9 2" xfId="13355" xr:uid="{1DF4920D-B3AE-481B-80FC-A6719DA4A175}"/>
    <cellStyle name="Note 2 2 4" xfId="1006" xr:uid="{00000000-0005-0000-0000-0000DA200000}"/>
    <cellStyle name="Note 2 2 4 2" xfId="3238" xr:uid="{00000000-0005-0000-0000-0000DB200000}"/>
    <cellStyle name="Note 2 2 4 2 2" xfId="7460" xr:uid="{00000000-0005-0000-0000-0000DC200000}"/>
    <cellStyle name="Note 2 2 4 2 2 2" xfId="15910" xr:uid="{B7A383B4-9024-4C0D-BA2E-C1F813D73D5F}"/>
    <cellStyle name="Note 2 2 4 2 3" xfId="11692" xr:uid="{18B9DD43-9D38-4130-8ED9-95F210731CB9}"/>
    <cellStyle name="Note 2 2 4 3" xfId="5315" xr:uid="{00000000-0005-0000-0000-0000DD200000}"/>
    <cellStyle name="Note 2 2 4 3 2" xfId="13765" xr:uid="{330D035C-1066-4D5E-BED9-A40B94E0A2A2}"/>
    <cellStyle name="Note 2 2 4 4" xfId="9547" xr:uid="{A829432D-5450-4F83-954E-E5833D6259F4}"/>
    <cellStyle name="Note 2 2 5" xfId="1421" xr:uid="{00000000-0005-0000-0000-0000DE200000}"/>
    <cellStyle name="Note 2 2 5 2" xfId="3651" xr:uid="{00000000-0005-0000-0000-0000DF200000}"/>
    <cellStyle name="Note 2 2 5 2 2" xfId="7873" xr:uid="{00000000-0005-0000-0000-0000E0200000}"/>
    <cellStyle name="Note 2 2 5 2 2 2" xfId="16323" xr:uid="{B147200C-F5D9-40CF-B1BE-40F0DD52E3CF}"/>
    <cellStyle name="Note 2 2 5 2 3" xfId="12105" xr:uid="{FAC18945-9207-4BB4-B89F-CFB701F6DABA}"/>
    <cellStyle name="Note 2 2 5 3" xfId="5728" xr:uid="{00000000-0005-0000-0000-0000E1200000}"/>
    <cellStyle name="Note 2 2 5 3 2" xfId="14178" xr:uid="{E559C797-4523-4869-81E6-F53929D09B3A}"/>
    <cellStyle name="Note 2 2 5 4" xfId="9960" xr:uid="{8ACD188F-CE6C-4426-89C8-3653A0B4AFA0}"/>
    <cellStyle name="Note 2 2 6" xfId="1835" xr:uid="{00000000-0005-0000-0000-0000E2200000}"/>
    <cellStyle name="Note 2 2 6 2" xfId="4064" xr:uid="{00000000-0005-0000-0000-0000E3200000}"/>
    <cellStyle name="Note 2 2 6 2 2" xfId="8286" xr:uid="{00000000-0005-0000-0000-0000E4200000}"/>
    <cellStyle name="Note 2 2 6 2 2 2" xfId="16736" xr:uid="{D1130038-4C26-4D1F-B447-E504C7931716}"/>
    <cellStyle name="Note 2 2 6 2 3" xfId="12518" xr:uid="{23485880-861B-479D-A7BC-96AC961F982C}"/>
    <cellStyle name="Note 2 2 6 3" xfId="6141" xr:uid="{00000000-0005-0000-0000-0000E5200000}"/>
    <cellStyle name="Note 2 2 6 3 2" xfId="14591" xr:uid="{F4F34C3B-F498-4C2A-8034-3BE490DC057C}"/>
    <cellStyle name="Note 2 2 6 4" xfId="10373" xr:uid="{DA4F3FE9-8C22-4201-8890-C3C58841CC86}"/>
    <cellStyle name="Note 2 2 7" xfId="2248" xr:uid="{00000000-0005-0000-0000-0000E6200000}"/>
    <cellStyle name="Note 2 2 7 2" xfId="4477" xr:uid="{00000000-0005-0000-0000-0000E7200000}"/>
    <cellStyle name="Note 2 2 7 2 2" xfId="8699" xr:uid="{00000000-0005-0000-0000-0000E8200000}"/>
    <cellStyle name="Note 2 2 7 2 2 2" xfId="17149" xr:uid="{D5FDAD7D-4191-47B0-96B7-6DE2BDC48FD6}"/>
    <cellStyle name="Note 2 2 7 2 3" xfId="12931" xr:uid="{40938232-905A-4F11-8BE0-D0ECD8726494}"/>
    <cellStyle name="Note 2 2 7 3" xfId="6554" xr:uid="{00000000-0005-0000-0000-0000E9200000}"/>
    <cellStyle name="Note 2 2 7 3 2" xfId="15004" xr:uid="{C77A1238-48D3-42BF-A1E5-69A6E0FDF81B}"/>
    <cellStyle name="Note 2 2 7 4" xfId="10786" xr:uid="{509EEDC3-2742-484F-95A7-4EDEDDB0B94B}"/>
    <cellStyle name="Note 2 2 8" xfId="2684" xr:uid="{00000000-0005-0000-0000-0000EA200000}"/>
    <cellStyle name="Note 2 2 8 2" xfId="6967" xr:uid="{00000000-0005-0000-0000-0000EB200000}"/>
    <cellStyle name="Note 2 2 8 2 2" xfId="15417" xr:uid="{610815E4-832C-4B15-AA04-8DA01B31239B}"/>
    <cellStyle name="Note 2 2 8 3" xfId="11199" xr:uid="{CDA3B35C-F002-4455-8B7D-E5D76052C5C0}"/>
    <cellStyle name="Note 2 2 9" xfId="2743" xr:uid="{00000000-0005-0000-0000-0000EC200000}"/>
    <cellStyle name="Note 2 3" xfId="549" xr:uid="{00000000-0005-0000-0000-0000ED200000}"/>
    <cellStyle name="Note 2 3 10" xfId="4906" xr:uid="{00000000-0005-0000-0000-0000EE200000}"/>
    <cellStyle name="Note 2 3 10 2" xfId="13356" xr:uid="{DCF0AED3-821C-40D5-B2D7-EDF8860C7A94}"/>
    <cellStyle name="Note 2 3 11" xfId="9138" xr:uid="{2DF1B21E-D7A1-457A-9D85-B7C71017B485}"/>
    <cellStyle name="Note 2 3 2" xfId="550" xr:uid="{00000000-0005-0000-0000-0000EF200000}"/>
    <cellStyle name="Note 2 3 2 10" xfId="9139" xr:uid="{ED9074F1-12A6-4C58-971A-7F1D8028E799}"/>
    <cellStyle name="Note 2 3 2 2" xfId="1011" xr:uid="{00000000-0005-0000-0000-0000F0200000}"/>
    <cellStyle name="Note 2 3 2 2 2" xfId="3243" xr:uid="{00000000-0005-0000-0000-0000F1200000}"/>
    <cellStyle name="Note 2 3 2 2 2 2" xfId="7465" xr:uid="{00000000-0005-0000-0000-0000F2200000}"/>
    <cellStyle name="Note 2 3 2 2 2 2 2" xfId="15915" xr:uid="{778C9B3A-EC76-4E67-9F76-55DA2AF21CE0}"/>
    <cellStyle name="Note 2 3 2 2 2 3" xfId="11697" xr:uid="{60B80D79-4FFC-4F01-A0AD-CFB8C2CF3597}"/>
    <cellStyle name="Note 2 3 2 2 3" xfId="5320" xr:uid="{00000000-0005-0000-0000-0000F3200000}"/>
    <cellStyle name="Note 2 3 2 2 3 2" xfId="13770" xr:uid="{7643328B-3769-4794-BBBC-F82C4502B6B2}"/>
    <cellStyle name="Note 2 3 2 2 4" xfId="9552" xr:uid="{082ABA4C-75CE-490E-852B-191653673574}"/>
    <cellStyle name="Note 2 3 2 3" xfId="1426" xr:uid="{00000000-0005-0000-0000-0000F4200000}"/>
    <cellStyle name="Note 2 3 2 3 2" xfId="3656" xr:uid="{00000000-0005-0000-0000-0000F5200000}"/>
    <cellStyle name="Note 2 3 2 3 2 2" xfId="7878" xr:uid="{00000000-0005-0000-0000-0000F6200000}"/>
    <cellStyle name="Note 2 3 2 3 2 2 2" xfId="16328" xr:uid="{77B10101-8104-48A2-8C2B-0489A368FBCB}"/>
    <cellStyle name="Note 2 3 2 3 2 3" xfId="12110" xr:uid="{F298B67B-F654-43DC-9B2E-2DD9141D2C06}"/>
    <cellStyle name="Note 2 3 2 3 3" xfId="5733" xr:uid="{00000000-0005-0000-0000-0000F7200000}"/>
    <cellStyle name="Note 2 3 2 3 3 2" xfId="14183" xr:uid="{5B4B94F7-A8D6-43AE-BB40-97FF73F28137}"/>
    <cellStyle name="Note 2 3 2 3 4" xfId="9965" xr:uid="{80AC4C70-C21F-46E9-93F0-EF39226C3890}"/>
    <cellStyle name="Note 2 3 2 4" xfId="1840" xr:uid="{00000000-0005-0000-0000-0000F8200000}"/>
    <cellStyle name="Note 2 3 2 4 2" xfId="4069" xr:uid="{00000000-0005-0000-0000-0000F9200000}"/>
    <cellStyle name="Note 2 3 2 4 2 2" xfId="8291" xr:uid="{00000000-0005-0000-0000-0000FA200000}"/>
    <cellStyle name="Note 2 3 2 4 2 2 2" xfId="16741" xr:uid="{C5986895-B2E6-435A-B7BB-04CF368E76D3}"/>
    <cellStyle name="Note 2 3 2 4 2 3" xfId="12523" xr:uid="{8F79DCF3-9168-4CAF-9F8F-A4046E136A85}"/>
    <cellStyle name="Note 2 3 2 4 3" xfId="6146" xr:uid="{00000000-0005-0000-0000-0000FB200000}"/>
    <cellStyle name="Note 2 3 2 4 3 2" xfId="14596" xr:uid="{7A402E1B-F85F-4F21-B9BC-AE0BD83E5F43}"/>
    <cellStyle name="Note 2 3 2 4 4" xfId="10378" xr:uid="{5F53FEA2-B36C-4CD7-A9DE-7781853846C8}"/>
    <cellStyle name="Note 2 3 2 5" xfId="2253" xr:uid="{00000000-0005-0000-0000-0000FC200000}"/>
    <cellStyle name="Note 2 3 2 5 2" xfId="4482" xr:uid="{00000000-0005-0000-0000-0000FD200000}"/>
    <cellStyle name="Note 2 3 2 5 2 2" xfId="8704" xr:uid="{00000000-0005-0000-0000-0000FE200000}"/>
    <cellStyle name="Note 2 3 2 5 2 2 2" xfId="17154" xr:uid="{59093CD2-A100-4D14-94B5-4F2A9D7C1F79}"/>
    <cellStyle name="Note 2 3 2 5 2 3" xfId="12936" xr:uid="{27590206-36EE-4819-993B-7E0DACAEDD26}"/>
    <cellStyle name="Note 2 3 2 5 3" xfId="6559" xr:uid="{00000000-0005-0000-0000-0000FF200000}"/>
    <cellStyle name="Note 2 3 2 5 3 2" xfId="15009" xr:uid="{0294F51C-CC53-4B28-AF41-BA66E3FDF8E9}"/>
    <cellStyle name="Note 2 3 2 5 4" xfId="10791" xr:uid="{6DEBA8A5-3206-4258-B6DF-641C96D5CB7A}"/>
    <cellStyle name="Note 2 3 2 6" xfId="2689" xr:uid="{00000000-0005-0000-0000-000000210000}"/>
    <cellStyle name="Note 2 3 2 6 2" xfId="6972" xr:uid="{00000000-0005-0000-0000-000001210000}"/>
    <cellStyle name="Note 2 3 2 6 2 2" xfId="15422" xr:uid="{F58D86C1-8B5B-4752-934F-295EFE41661F}"/>
    <cellStyle name="Note 2 3 2 6 3" xfId="11204" xr:uid="{D87E2CB2-2510-49DE-A1B7-9B86666FE976}"/>
    <cellStyle name="Note 2 3 2 7" xfId="2748" xr:uid="{00000000-0005-0000-0000-000002210000}"/>
    <cellStyle name="Note 2 3 2 8" xfId="2829" xr:uid="{00000000-0005-0000-0000-000003210000}"/>
    <cellStyle name="Note 2 3 2 8 2" xfId="7052" xr:uid="{00000000-0005-0000-0000-000004210000}"/>
    <cellStyle name="Note 2 3 2 8 2 2" xfId="15502" xr:uid="{EE6D4E76-5F65-44F0-AEBB-272BC16C08F6}"/>
    <cellStyle name="Note 2 3 2 8 3" xfId="11284" xr:uid="{1E559893-4093-4DBA-953B-D0954EFC583C}"/>
    <cellStyle name="Note 2 3 2 9" xfId="4907" xr:uid="{00000000-0005-0000-0000-000005210000}"/>
    <cellStyle name="Note 2 3 2 9 2" xfId="13357" xr:uid="{F14D0B2E-7733-4337-B89E-C7DA3F94BD3F}"/>
    <cellStyle name="Note 2 3 3" xfId="1010" xr:uid="{00000000-0005-0000-0000-000006210000}"/>
    <cellStyle name="Note 2 3 3 2" xfId="3242" xr:uid="{00000000-0005-0000-0000-000007210000}"/>
    <cellStyle name="Note 2 3 3 2 2" xfId="7464" xr:uid="{00000000-0005-0000-0000-000008210000}"/>
    <cellStyle name="Note 2 3 3 2 2 2" xfId="15914" xr:uid="{FB88703B-D9B7-499F-A3C4-1EB7EC4528C0}"/>
    <cellStyle name="Note 2 3 3 2 3" xfId="11696" xr:uid="{0FEDDB7A-57BB-42E1-A768-02762ADB6F2D}"/>
    <cellStyle name="Note 2 3 3 3" xfId="5319" xr:uid="{00000000-0005-0000-0000-000009210000}"/>
    <cellStyle name="Note 2 3 3 3 2" xfId="13769" xr:uid="{C804477B-04AD-4E42-940D-7E92A33AFCD0}"/>
    <cellStyle name="Note 2 3 3 4" xfId="9551" xr:uid="{6F8AD029-EB0A-4426-A02C-7834F97580CB}"/>
    <cellStyle name="Note 2 3 4" xfId="1425" xr:uid="{00000000-0005-0000-0000-00000A210000}"/>
    <cellStyle name="Note 2 3 4 2" xfId="3655" xr:uid="{00000000-0005-0000-0000-00000B210000}"/>
    <cellStyle name="Note 2 3 4 2 2" xfId="7877" xr:uid="{00000000-0005-0000-0000-00000C210000}"/>
    <cellStyle name="Note 2 3 4 2 2 2" xfId="16327" xr:uid="{3D26ABA2-53F9-45A2-9BE1-FA3BC96D1FAA}"/>
    <cellStyle name="Note 2 3 4 2 3" xfId="12109" xr:uid="{B283CDB0-6AE2-4D3E-973C-1CACE4DA0280}"/>
    <cellStyle name="Note 2 3 4 3" xfId="5732" xr:uid="{00000000-0005-0000-0000-00000D210000}"/>
    <cellStyle name="Note 2 3 4 3 2" xfId="14182" xr:uid="{58CB9511-9F16-4293-9E0A-9E318D175D03}"/>
    <cellStyle name="Note 2 3 4 4" xfId="9964" xr:uid="{FC7FCE72-90D9-44B3-8C69-E97E954DDE8D}"/>
    <cellStyle name="Note 2 3 5" xfId="1839" xr:uid="{00000000-0005-0000-0000-00000E210000}"/>
    <cellStyle name="Note 2 3 5 2" xfId="4068" xr:uid="{00000000-0005-0000-0000-00000F210000}"/>
    <cellStyle name="Note 2 3 5 2 2" xfId="8290" xr:uid="{00000000-0005-0000-0000-000010210000}"/>
    <cellStyle name="Note 2 3 5 2 2 2" xfId="16740" xr:uid="{28DCDD45-E841-4F52-AEB5-990A7241A875}"/>
    <cellStyle name="Note 2 3 5 2 3" xfId="12522" xr:uid="{E53F5397-F63D-40D4-8AF5-C76A86190DF7}"/>
    <cellStyle name="Note 2 3 5 3" xfId="6145" xr:uid="{00000000-0005-0000-0000-000011210000}"/>
    <cellStyle name="Note 2 3 5 3 2" xfId="14595" xr:uid="{54FA35DF-FC57-470A-925B-14844F992F9D}"/>
    <cellStyle name="Note 2 3 5 4" xfId="10377" xr:uid="{F481D56C-2CB8-41A0-913C-9B911D3B996B}"/>
    <cellStyle name="Note 2 3 6" xfId="2252" xr:uid="{00000000-0005-0000-0000-000012210000}"/>
    <cellStyle name="Note 2 3 6 2" xfId="4481" xr:uid="{00000000-0005-0000-0000-000013210000}"/>
    <cellStyle name="Note 2 3 6 2 2" xfId="8703" xr:uid="{00000000-0005-0000-0000-000014210000}"/>
    <cellStyle name="Note 2 3 6 2 2 2" xfId="17153" xr:uid="{546B4155-486F-4993-A106-DD528B419934}"/>
    <cellStyle name="Note 2 3 6 2 3" xfId="12935" xr:uid="{16C7BCBE-061B-4F9D-B879-7F5D58C6F00A}"/>
    <cellStyle name="Note 2 3 6 3" xfId="6558" xr:uid="{00000000-0005-0000-0000-000015210000}"/>
    <cellStyle name="Note 2 3 6 3 2" xfId="15008" xr:uid="{E1300C15-ACC2-4CDE-AC44-66C36393EC9F}"/>
    <cellStyle name="Note 2 3 6 4" xfId="10790" xr:uid="{36CBB748-3429-4BE3-95AD-45D755973DAE}"/>
    <cellStyle name="Note 2 3 7" xfId="2688" xr:uid="{00000000-0005-0000-0000-000016210000}"/>
    <cellStyle name="Note 2 3 7 2" xfId="6971" xr:uid="{00000000-0005-0000-0000-000017210000}"/>
    <cellStyle name="Note 2 3 7 2 2" xfId="15421" xr:uid="{9842DDE4-4337-4CDF-9AC4-A895FA3AA15D}"/>
    <cellStyle name="Note 2 3 7 3" xfId="11203" xr:uid="{5D64E392-85DA-4DF3-8F0A-2B8ABC3D59C0}"/>
    <cellStyle name="Note 2 3 8" xfId="2747" xr:uid="{00000000-0005-0000-0000-000018210000}"/>
    <cellStyle name="Note 2 3 9" xfId="2828" xr:uid="{00000000-0005-0000-0000-000019210000}"/>
    <cellStyle name="Note 2 3 9 2" xfId="7051" xr:uid="{00000000-0005-0000-0000-00001A210000}"/>
    <cellStyle name="Note 2 3 9 2 2" xfId="15501" xr:uid="{74D94783-5231-422C-8FDF-FC741C3314A0}"/>
    <cellStyle name="Note 2 3 9 3" xfId="11283" xr:uid="{F21F6868-4AEF-4774-B938-4DECA4DEB7D8}"/>
    <cellStyle name="Note 2 4" xfId="551" xr:uid="{00000000-0005-0000-0000-00001B210000}"/>
    <cellStyle name="Note 2 4 10" xfId="9140" xr:uid="{736CCF4F-E2D5-4F60-AD43-F529BDCC6A00}"/>
    <cellStyle name="Note 2 4 2" xfId="1012" xr:uid="{00000000-0005-0000-0000-00001C210000}"/>
    <cellStyle name="Note 2 4 2 2" xfId="3244" xr:uid="{00000000-0005-0000-0000-00001D210000}"/>
    <cellStyle name="Note 2 4 2 2 2" xfId="7466" xr:uid="{00000000-0005-0000-0000-00001E210000}"/>
    <cellStyle name="Note 2 4 2 2 2 2" xfId="15916" xr:uid="{60DCFE9C-59C4-4149-A07E-93C1686D4754}"/>
    <cellStyle name="Note 2 4 2 2 3" xfId="11698" xr:uid="{1590FC56-0D69-41E8-B84D-D2431C3F23BC}"/>
    <cellStyle name="Note 2 4 2 3" xfId="5321" xr:uid="{00000000-0005-0000-0000-00001F210000}"/>
    <cellStyle name="Note 2 4 2 3 2" xfId="13771" xr:uid="{ABBF0771-3E71-40DE-A880-058F12E770AA}"/>
    <cellStyle name="Note 2 4 2 4" xfId="9553" xr:uid="{C2EE5617-A710-4472-8FED-2365CB3301E7}"/>
    <cellStyle name="Note 2 4 3" xfId="1427" xr:uid="{00000000-0005-0000-0000-000020210000}"/>
    <cellStyle name="Note 2 4 3 2" xfId="3657" xr:uid="{00000000-0005-0000-0000-000021210000}"/>
    <cellStyle name="Note 2 4 3 2 2" xfId="7879" xr:uid="{00000000-0005-0000-0000-000022210000}"/>
    <cellStyle name="Note 2 4 3 2 2 2" xfId="16329" xr:uid="{7604125C-D11E-416F-A340-D57608CFD5E9}"/>
    <cellStyle name="Note 2 4 3 2 3" xfId="12111" xr:uid="{861509F2-BAD2-40BC-8DD6-77E6CF7D17C6}"/>
    <cellStyle name="Note 2 4 3 3" xfId="5734" xr:uid="{00000000-0005-0000-0000-000023210000}"/>
    <cellStyle name="Note 2 4 3 3 2" xfId="14184" xr:uid="{61C7ECA2-99AA-4AFB-A529-7A7A274ED71C}"/>
    <cellStyle name="Note 2 4 3 4" xfId="9966" xr:uid="{407B5BBA-40D3-467F-A8AD-3FC6A65A392B}"/>
    <cellStyle name="Note 2 4 4" xfId="1841" xr:uid="{00000000-0005-0000-0000-000024210000}"/>
    <cellStyle name="Note 2 4 4 2" xfId="4070" xr:uid="{00000000-0005-0000-0000-000025210000}"/>
    <cellStyle name="Note 2 4 4 2 2" xfId="8292" xr:uid="{00000000-0005-0000-0000-000026210000}"/>
    <cellStyle name="Note 2 4 4 2 2 2" xfId="16742" xr:uid="{FC6BED80-A4C1-4DBC-9327-FAE197C73152}"/>
    <cellStyle name="Note 2 4 4 2 3" xfId="12524" xr:uid="{5144F3EA-E66C-4B1C-93FD-64A2BFE1139B}"/>
    <cellStyle name="Note 2 4 4 3" xfId="6147" xr:uid="{00000000-0005-0000-0000-000027210000}"/>
    <cellStyle name="Note 2 4 4 3 2" xfId="14597" xr:uid="{4681E3E1-CFDB-4146-9D30-8B54E09C24F0}"/>
    <cellStyle name="Note 2 4 4 4" xfId="10379" xr:uid="{5B558CB9-3728-4D87-B916-D721A84319A1}"/>
    <cellStyle name="Note 2 4 5" xfId="2254" xr:uid="{00000000-0005-0000-0000-000028210000}"/>
    <cellStyle name="Note 2 4 5 2" xfId="4483" xr:uid="{00000000-0005-0000-0000-000029210000}"/>
    <cellStyle name="Note 2 4 5 2 2" xfId="8705" xr:uid="{00000000-0005-0000-0000-00002A210000}"/>
    <cellStyle name="Note 2 4 5 2 2 2" xfId="17155" xr:uid="{2841C31E-EDE8-4853-B45F-17E81AFF1567}"/>
    <cellStyle name="Note 2 4 5 2 3" xfId="12937" xr:uid="{C433F254-010E-42E5-A0E5-B118950AA259}"/>
    <cellStyle name="Note 2 4 5 3" xfId="6560" xr:uid="{00000000-0005-0000-0000-00002B210000}"/>
    <cellStyle name="Note 2 4 5 3 2" xfId="15010" xr:uid="{4AEAA60B-1433-4461-8C3B-67A7B340B1BF}"/>
    <cellStyle name="Note 2 4 5 4" xfId="10792" xr:uid="{48BB3390-47D2-433B-B874-5E303F8E911E}"/>
    <cellStyle name="Note 2 4 6" xfId="2690" xr:uid="{00000000-0005-0000-0000-00002C210000}"/>
    <cellStyle name="Note 2 4 6 2" xfId="6973" xr:uid="{00000000-0005-0000-0000-00002D210000}"/>
    <cellStyle name="Note 2 4 6 2 2" xfId="15423" xr:uid="{24523448-EAF5-4030-B22C-3C3EC9ED90DE}"/>
    <cellStyle name="Note 2 4 6 3" xfId="11205" xr:uid="{777E9266-7741-42B0-801A-F371B6505D1A}"/>
    <cellStyle name="Note 2 4 7" xfId="2749" xr:uid="{00000000-0005-0000-0000-00002E210000}"/>
    <cellStyle name="Note 2 4 8" xfId="2830" xr:uid="{00000000-0005-0000-0000-00002F210000}"/>
    <cellStyle name="Note 2 4 8 2" xfId="7053" xr:uid="{00000000-0005-0000-0000-000030210000}"/>
    <cellStyle name="Note 2 4 8 2 2" xfId="15503" xr:uid="{1CF92070-D2CD-4644-817B-C58ABEA832F8}"/>
    <cellStyle name="Note 2 4 8 3" xfId="11285" xr:uid="{44722BFD-97CD-4749-9A8E-D717C77F7D8A}"/>
    <cellStyle name="Note 2 4 9" xfId="4908" xr:uid="{00000000-0005-0000-0000-000031210000}"/>
    <cellStyle name="Note 2 4 9 2" xfId="13358" xr:uid="{DC92C81A-1465-4DBF-B2D1-61D3CC7888BC}"/>
    <cellStyle name="Note 2 5" xfId="552" xr:uid="{00000000-0005-0000-0000-000032210000}"/>
    <cellStyle name="Note 2 5 10" xfId="9141" xr:uid="{3361BFC7-27DB-4DD6-885E-F8117E00A1C1}"/>
    <cellStyle name="Note 2 5 2" xfId="1013" xr:uid="{00000000-0005-0000-0000-000033210000}"/>
    <cellStyle name="Note 2 5 2 2" xfId="3245" xr:uid="{00000000-0005-0000-0000-000034210000}"/>
    <cellStyle name="Note 2 5 2 2 2" xfId="7467" xr:uid="{00000000-0005-0000-0000-000035210000}"/>
    <cellStyle name="Note 2 5 2 2 2 2" xfId="15917" xr:uid="{53790FB9-AB89-44D4-A429-98D8183DE2B9}"/>
    <cellStyle name="Note 2 5 2 2 3" xfId="11699" xr:uid="{49C89059-80BB-4717-87F3-FFE697786135}"/>
    <cellStyle name="Note 2 5 2 3" xfId="5322" xr:uid="{00000000-0005-0000-0000-000036210000}"/>
    <cellStyle name="Note 2 5 2 3 2" xfId="13772" xr:uid="{B88B7118-C1EF-47ED-B9EA-6BA53422E8DF}"/>
    <cellStyle name="Note 2 5 2 4" xfId="9554" xr:uid="{B5F07913-61D0-442B-B73E-ECA4A51D32C5}"/>
    <cellStyle name="Note 2 5 3" xfId="1428" xr:uid="{00000000-0005-0000-0000-000037210000}"/>
    <cellStyle name="Note 2 5 3 2" xfId="3658" xr:uid="{00000000-0005-0000-0000-000038210000}"/>
    <cellStyle name="Note 2 5 3 2 2" xfId="7880" xr:uid="{00000000-0005-0000-0000-000039210000}"/>
    <cellStyle name="Note 2 5 3 2 2 2" xfId="16330" xr:uid="{389ED5EB-6377-45AB-BD30-A1C028C85166}"/>
    <cellStyle name="Note 2 5 3 2 3" xfId="12112" xr:uid="{90B89F6A-FCB1-461B-A16A-258858DF7416}"/>
    <cellStyle name="Note 2 5 3 3" xfId="5735" xr:uid="{00000000-0005-0000-0000-00003A210000}"/>
    <cellStyle name="Note 2 5 3 3 2" xfId="14185" xr:uid="{C0DC05A8-0D05-4F53-97AE-308932D1156D}"/>
    <cellStyle name="Note 2 5 3 4" xfId="9967" xr:uid="{D119C132-5BA5-49A7-B162-848D1BFEFA8A}"/>
    <cellStyle name="Note 2 5 4" xfId="1842" xr:uid="{00000000-0005-0000-0000-00003B210000}"/>
    <cellStyle name="Note 2 5 4 2" xfId="4071" xr:uid="{00000000-0005-0000-0000-00003C210000}"/>
    <cellStyle name="Note 2 5 4 2 2" xfId="8293" xr:uid="{00000000-0005-0000-0000-00003D210000}"/>
    <cellStyle name="Note 2 5 4 2 2 2" xfId="16743" xr:uid="{AB0103CA-B51E-4C9C-B627-C2C946102907}"/>
    <cellStyle name="Note 2 5 4 2 3" xfId="12525" xr:uid="{0B305A4A-75E7-4864-8042-3C99F8D8BE8D}"/>
    <cellStyle name="Note 2 5 4 3" xfId="6148" xr:uid="{00000000-0005-0000-0000-00003E210000}"/>
    <cellStyle name="Note 2 5 4 3 2" xfId="14598" xr:uid="{F5460397-B2AC-41A9-AD82-DEE4FC5930B8}"/>
    <cellStyle name="Note 2 5 4 4" xfId="10380" xr:uid="{7823FC0F-453F-4BD6-8A6A-14048EA4A0E3}"/>
    <cellStyle name="Note 2 5 5" xfId="2255" xr:uid="{00000000-0005-0000-0000-00003F210000}"/>
    <cellStyle name="Note 2 5 5 2" xfId="4484" xr:uid="{00000000-0005-0000-0000-000040210000}"/>
    <cellStyle name="Note 2 5 5 2 2" xfId="8706" xr:uid="{00000000-0005-0000-0000-000041210000}"/>
    <cellStyle name="Note 2 5 5 2 2 2" xfId="17156" xr:uid="{84ACF3E2-103E-4479-96CC-29EDB18F5721}"/>
    <cellStyle name="Note 2 5 5 2 3" xfId="12938" xr:uid="{40C22895-3819-4433-AF6C-AE7F1A42AA04}"/>
    <cellStyle name="Note 2 5 5 3" xfId="6561" xr:uid="{00000000-0005-0000-0000-000042210000}"/>
    <cellStyle name="Note 2 5 5 3 2" xfId="15011" xr:uid="{51204A9F-4F43-4A98-846A-3EB35112D6D9}"/>
    <cellStyle name="Note 2 5 5 4" xfId="10793" xr:uid="{9F444E9F-D414-4610-81A3-54F9A488A3BE}"/>
    <cellStyle name="Note 2 5 6" xfId="2691" xr:uid="{00000000-0005-0000-0000-000043210000}"/>
    <cellStyle name="Note 2 5 6 2" xfId="6974" xr:uid="{00000000-0005-0000-0000-000044210000}"/>
    <cellStyle name="Note 2 5 6 2 2" xfId="15424" xr:uid="{5C35D7E0-8812-4F6F-BA0E-776E90C4311D}"/>
    <cellStyle name="Note 2 5 6 3" xfId="11206" xr:uid="{4876CEAB-0DA6-4CA0-B64E-C7C2D49E5B51}"/>
    <cellStyle name="Note 2 5 7" xfId="2750" xr:uid="{00000000-0005-0000-0000-000045210000}"/>
    <cellStyle name="Note 2 5 8" xfId="2831" xr:uid="{00000000-0005-0000-0000-000046210000}"/>
    <cellStyle name="Note 2 5 8 2" xfId="7054" xr:uid="{00000000-0005-0000-0000-000047210000}"/>
    <cellStyle name="Note 2 5 8 2 2" xfId="15504" xr:uid="{1FCA700C-65CD-427A-9722-091A3C29703C}"/>
    <cellStyle name="Note 2 5 8 3" xfId="11286" xr:uid="{49711793-5803-4EEB-AD79-0959DD963613}"/>
    <cellStyle name="Note 2 5 9" xfId="4909" xr:uid="{00000000-0005-0000-0000-000048210000}"/>
    <cellStyle name="Note 2 5 9 2" xfId="13359" xr:uid="{5F5EBB70-FC1C-40D4-A40E-2902C740D64D}"/>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0 2 2" xfId="15505" xr:uid="{F44CA878-44CC-4AC0-A603-E26C26419DCB}"/>
    <cellStyle name="Note 3 2 10 3" xfId="11287" xr:uid="{226D3AA2-E4B5-4E3A-B236-F52D5AC2AD56}"/>
    <cellStyle name="Note 3 2 11" xfId="4910" xr:uid="{00000000-0005-0000-0000-00004D210000}"/>
    <cellStyle name="Note 3 2 11 2" xfId="13360" xr:uid="{4DCDED4A-1095-4C2B-8A3A-1980D6BC7323}"/>
    <cellStyle name="Note 3 2 12" xfId="9142" xr:uid="{9A8D0FF7-33E8-4ADB-8984-A92CF403EEC8}"/>
    <cellStyle name="Note 3 2 2" xfId="555" xr:uid="{00000000-0005-0000-0000-00004E210000}"/>
    <cellStyle name="Note 3 2 2 10" xfId="4911" xr:uid="{00000000-0005-0000-0000-00004F210000}"/>
    <cellStyle name="Note 3 2 2 10 2" xfId="13361" xr:uid="{1EE614F9-F410-49B7-8D93-AE7082AC9350}"/>
    <cellStyle name="Note 3 2 2 11" xfId="9143" xr:uid="{739E39D4-E9E9-408F-B6F1-53DD0774AD09}"/>
    <cellStyle name="Note 3 2 2 2" xfId="556" xr:uid="{00000000-0005-0000-0000-000050210000}"/>
    <cellStyle name="Note 3 2 2 2 10" xfId="9144" xr:uid="{BA7B4AAA-D539-4D21-ABD4-3D88625F9CFF}"/>
    <cellStyle name="Note 3 2 2 2 2" xfId="1016" xr:uid="{00000000-0005-0000-0000-000051210000}"/>
    <cellStyle name="Note 3 2 2 2 2 2" xfId="3248" xr:uid="{00000000-0005-0000-0000-000052210000}"/>
    <cellStyle name="Note 3 2 2 2 2 2 2" xfId="7470" xr:uid="{00000000-0005-0000-0000-000053210000}"/>
    <cellStyle name="Note 3 2 2 2 2 2 2 2" xfId="15920" xr:uid="{EECF2A41-736F-4B3F-9F9C-FB9980DCE3D1}"/>
    <cellStyle name="Note 3 2 2 2 2 2 3" xfId="11702" xr:uid="{B4C8C436-CF24-4131-BBCE-3D558EC83765}"/>
    <cellStyle name="Note 3 2 2 2 2 3" xfId="5325" xr:uid="{00000000-0005-0000-0000-000054210000}"/>
    <cellStyle name="Note 3 2 2 2 2 3 2" xfId="13775" xr:uid="{A840213F-C70D-4D1F-A59F-4CEDCE9B4949}"/>
    <cellStyle name="Note 3 2 2 2 2 4" xfId="9557" xr:uid="{0E2E7A37-75BF-4D22-8390-4FEA268ADE5F}"/>
    <cellStyle name="Note 3 2 2 2 3" xfId="1431" xr:uid="{00000000-0005-0000-0000-000055210000}"/>
    <cellStyle name="Note 3 2 2 2 3 2" xfId="3661" xr:uid="{00000000-0005-0000-0000-000056210000}"/>
    <cellStyle name="Note 3 2 2 2 3 2 2" xfId="7883" xr:uid="{00000000-0005-0000-0000-000057210000}"/>
    <cellStyle name="Note 3 2 2 2 3 2 2 2" xfId="16333" xr:uid="{4E69FD2C-852B-403C-ABDB-EFC6188708AB}"/>
    <cellStyle name="Note 3 2 2 2 3 2 3" xfId="12115" xr:uid="{8E582C25-62DD-44D5-9688-45D1085C4245}"/>
    <cellStyle name="Note 3 2 2 2 3 3" xfId="5738" xr:uid="{00000000-0005-0000-0000-000058210000}"/>
    <cellStyle name="Note 3 2 2 2 3 3 2" xfId="14188" xr:uid="{849A2EE4-98DF-4238-BBB1-0CF894A9B9C8}"/>
    <cellStyle name="Note 3 2 2 2 3 4" xfId="9970" xr:uid="{79F203D3-0D5F-450C-B022-6184F83F9066}"/>
    <cellStyle name="Note 3 2 2 2 4" xfId="1845" xr:uid="{00000000-0005-0000-0000-000059210000}"/>
    <cellStyle name="Note 3 2 2 2 4 2" xfId="4074" xr:uid="{00000000-0005-0000-0000-00005A210000}"/>
    <cellStyle name="Note 3 2 2 2 4 2 2" xfId="8296" xr:uid="{00000000-0005-0000-0000-00005B210000}"/>
    <cellStyle name="Note 3 2 2 2 4 2 2 2" xfId="16746" xr:uid="{5978977E-6ED2-4BA6-9434-E466E081B6BA}"/>
    <cellStyle name="Note 3 2 2 2 4 2 3" xfId="12528" xr:uid="{1794EF63-53A4-47B8-B746-6E076ECF2170}"/>
    <cellStyle name="Note 3 2 2 2 4 3" xfId="6151" xr:uid="{00000000-0005-0000-0000-00005C210000}"/>
    <cellStyle name="Note 3 2 2 2 4 3 2" xfId="14601" xr:uid="{09CE001A-D0EC-43AB-8C9B-A8621DC0FC99}"/>
    <cellStyle name="Note 3 2 2 2 4 4" xfId="10383" xr:uid="{AE50E1EC-9C97-4DA3-ABB4-CCDFA5D710FB}"/>
    <cellStyle name="Note 3 2 2 2 5" xfId="2258" xr:uid="{00000000-0005-0000-0000-00005D210000}"/>
    <cellStyle name="Note 3 2 2 2 5 2" xfId="4487" xr:uid="{00000000-0005-0000-0000-00005E210000}"/>
    <cellStyle name="Note 3 2 2 2 5 2 2" xfId="8709" xr:uid="{00000000-0005-0000-0000-00005F210000}"/>
    <cellStyle name="Note 3 2 2 2 5 2 2 2" xfId="17159" xr:uid="{1F90708B-7271-4F04-803F-9099CF5BEABF}"/>
    <cellStyle name="Note 3 2 2 2 5 2 3" xfId="12941" xr:uid="{EF55FD6B-F4AA-40FC-9055-65C7CF020698}"/>
    <cellStyle name="Note 3 2 2 2 5 3" xfId="6564" xr:uid="{00000000-0005-0000-0000-000060210000}"/>
    <cellStyle name="Note 3 2 2 2 5 3 2" xfId="15014" xr:uid="{AF0C04D6-2177-437F-9205-8A263BF7CB0A}"/>
    <cellStyle name="Note 3 2 2 2 5 4" xfId="10796" xr:uid="{8C3B6BE3-4539-4703-A42A-10DAE54C4EC5}"/>
    <cellStyle name="Note 3 2 2 2 6" xfId="2694" xr:uid="{00000000-0005-0000-0000-000061210000}"/>
    <cellStyle name="Note 3 2 2 2 6 2" xfId="6977" xr:uid="{00000000-0005-0000-0000-000062210000}"/>
    <cellStyle name="Note 3 2 2 2 6 2 2" xfId="15427" xr:uid="{7B7FFBD7-993D-411E-A32A-EA46C187EBD1}"/>
    <cellStyle name="Note 3 2 2 2 6 3" xfId="11209" xr:uid="{2D8EF019-7CB1-42A0-B29E-1210279D76B7}"/>
    <cellStyle name="Note 3 2 2 2 7" xfId="2753" xr:uid="{00000000-0005-0000-0000-000063210000}"/>
    <cellStyle name="Note 3 2 2 2 8" xfId="2834" xr:uid="{00000000-0005-0000-0000-000064210000}"/>
    <cellStyle name="Note 3 2 2 2 8 2" xfId="7057" xr:uid="{00000000-0005-0000-0000-000065210000}"/>
    <cellStyle name="Note 3 2 2 2 8 2 2" xfId="15507" xr:uid="{63CD58BE-67CB-41C7-97BD-DD2406ADBA69}"/>
    <cellStyle name="Note 3 2 2 2 8 3" xfId="11289" xr:uid="{C719A332-5ADA-453E-ADFD-DDA8FF14D0CF}"/>
    <cellStyle name="Note 3 2 2 2 9" xfId="4912" xr:uid="{00000000-0005-0000-0000-000066210000}"/>
    <cellStyle name="Note 3 2 2 2 9 2" xfId="13362" xr:uid="{815C74F1-0257-46A6-A699-B9CC50844B22}"/>
    <cellStyle name="Note 3 2 2 3" xfId="1015" xr:uid="{00000000-0005-0000-0000-000067210000}"/>
    <cellStyle name="Note 3 2 2 3 2" xfId="3247" xr:uid="{00000000-0005-0000-0000-000068210000}"/>
    <cellStyle name="Note 3 2 2 3 2 2" xfId="7469" xr:uid="{00000000-0005-0000-0000-000069210000}"/>
    <cellStyle name="Note 3 2 2 3 2 2 2" xfId="15919" xr:uid="{EFEDB298-521C-4ED0-B31D-D605E14E4EBE}"/>
    <cellStyle name="Note 3 2 2 3 2 3" xfId="11701" xr:uid="{B7416A63-EA64-4DDC-8003-1D1B82AAE90F}"/>
    <cellStyle name="Note 3 2 2 3 3" xfId="5324" xr:uid="{00000000-0005-0000-0000-00006A210000}"/>
    <cellStyle name="Note 3 2 2 3 3 2" xfId="13774" xr:uid="{413BA44A-FE06-459E-BC8D-4F2EA7CB6388}"/>
    <cellStyle name="Note 3 2 2 3 4" xfId="9556" xr:uid="{B6039DFF-C6A9-4F64-B0FE-E5B9A8637113}"/>
    <cellStyle name="Note 3 2 2 4" xfId="1430" xr:uid="{00000000-0005-0000-0000-00006B210000}"/>
    <cellStyle name="Note 3 2 2 4 2" xfId="3660" xr:uid="{00000000-0005-0000-0000-00006C210000}"/>
    <cellStyle name="Note 3 2 2 4 2 2" xfId="7882" xr:uid="{00000000-0005-0000-0000-00006D210000}"/>
    <cellStyle name="Note 3 2 2 4 2 2 2" xfId="16332" xr:uid="{0DA9A83F-B783-44AD-A416-CCA33C6EABBB}"/>
    <cellStyle name="Note 3 2 2 4 2 3" xfId="12114" xr:uid="{73274E4B-05A4-4E0C-ADB4-56261AB91FB4}"/>
    <cellStyle name="Note 3 2 2 4 3" xfId="5737" xr:uid="{00000000-0005-0000-0000-00006E210000}"/>
    <cellStyle name="Note 3 2 2 4 3 2" xfId="14187" xr:uid="{311CDF40-8FE1-45CE-A8EB-683A53609F0A}"/>
    <cellStyle name="Note 3 2 2 4 4" xfId="9969" xr:uid="{C92022AD-3739-4C5F-834D-F40DB2FA734A}"/>
    <cellStyle name="Note 3 2 2 5" xfId="1844" xr:uid="{00000000-0005-0000-0000-00006F210000}"/>
    <cellStyle name="Note 3 2 2 5 2" xfId="4073" xr:uid="{00000000-0005-0000-0000-000070210000}"/>
    <cellStyle name="Note 3 2 2 5 2 2" xfId="8295" xr:uid="{00000000-0005-0000-0000-000071210000}"/>
    <cellStyle name="Note 3 2 2 5 2 2 2" xfId="16745" xr:uid="{43A618AC-B44E-47C5-A1CC-3167F4BED5CF}"/>
    <cellStyle name="Note 3 2 2 5 2 3" xfId="12527" xr:uid="{FB687C1F-1BF6-46A6-950D-6C6A8D6783C5}"/>
    <cellStyle name="Note 3 2 2 5 3" xfId="6150" xr:uid="{00000000-0005-0000-0000-000072210000}"/>
    <cellStyle name="Note 3 2 2 5 3 2" xfId="14600" xr:uid="{4A44B199-C8C0-42D3-AFB7-6834A562AFEE}"/>
    <cellStyle name="Note 3 2 2 5 4" xfId="10382" xr:uid="{3FFBCD3A-305B-472D-A8AB-4C2F61434C22}"/>
    <cellStyle name="Note 3 2 2 6" xfId="2257" xr:uid="{00000000-0005-0000-0000-000073210000}"/>
    <cellStyle name="Note 3 2 2 6 2" xfId="4486" xr:uid="{00000000-0005-0000-0000-000074210000}"/>
    <cellStyle name="Note 3 2 2 6 2 2" xfId="8708" xr:uid="{00000000-0005-0000-0000-000075210000}"/>
    <cellStyle name="Note 3 2 2 6 2 2 2" xfId="17158" xr:uid="{1508D270-1FBB-4FB8-B265-724FC8E88242}"/>
    <cellStyle name="Note 3 2 2 6 2 3" xfId="12940" xr:uid="{A484FCCC-25E9-472F-B5E3-F5F4F7269452}"/>
    <cellStyle name="Note 3 2 2 6 3" xfId="6563" xr:uid="{00000000-0005-0000-0000-000076210000}"/>
    <cellStyle name="Note 3 2 2 6 3 2" xfId="15013" xr:uid="{494CBCB0-3ED9-43B6-8C81-96553E2EC958}"/>
    <cellStyle name="Note 3 2 2 6 4" xfId="10795" xr:uid="{E455D2DA-F097-48FD-84AA-5062B60B8E85}"/>
    <cellStyle name="Note 3 2 2 7" xfId="2693" xr:uid="{00000000-0005-0000-0000-000077210000}"/>
    <cellStyle name="Note 3 2 2 7 2" xfId="6976" xr:uid="{00000000-0005-0000-0000-000078210000}"/>
    <cellStyle name="Note 3 2 2 7 2 2" xfId="15426" xr:uid="{EB89908C-E8BE-4168-8FFC-3E6B709A2405}"/>
    <cellStyle name="Note 3 2 2 7 3" xfId="11208" xr:uid="{12FDDFA5-F6C6-41BC-A723-9010C6688D65}"/>
    <cellStyle name="Note 3 2 2 8" xfId="2752" xr:uid="{00000000-0005-0000-0000-000079210000}"/>
    <cellStyle name="Note 3 2 2 9" xfId="2833" xr:uid="{00000000-0005-0000-0000-00007A210000}"/>
    <cellStyle name="Note 3 2 2 9 2" xfId="7056" xr:uid="{00000000-0005-0000-0000-00007B210000}"/>
    <cellStyle name="Note 3 2 2 9 2 2" xfId="15506" xr:uid="{FF5804D1-EA6C-4E8A-A159-682572450F38}"/>
    <cellStyle name="Note 3 2 2 9 3" xfId="11288" xr:uid="{98F87453-24EA-41A6-8E22-D6348BBC5B71}"/>
    <cellStyle name="Note 3 2 3" xfId="557" xr:uid="{00000000-0005-0000-0000-00007C210000}"/>
    <cellStyle name="Note 3 2 3 10" xfId="9145" xr:uid="{DBEC090B-E157-4461-B97D-3E649C2BEDAD}"/>
    <cellStyle name="Note 3 2 3 2" xfId="1017" xr:uid="{00000000-0005-0000-0000-00007D210000}"/>
    <cellStyle name="Note 3 2 3 2 2" xfId="3249" xr:uid="{00000000-0005-0000-0000-00007E210000}"/>
    <cellStyle name="Note 3 2 3 2 2 2" xfId="7471" xr:uid="{00000000-0005-0000-0000-00007F210000}"/>
    <cellStyle name="Note 3 2 3 2 2 2 2" xfId="15921" xr:uid="{B6718548-734E-48CF-B0C8-2AB9ABE6A85C}"/>
    <cellStyle name="Note 3 2 3 2 2 3" xfId="11703" xr:uid="{979C8496-793D-42A7-8C36-1C916A575961}"/>
    <cellStyle name="Note 3 2 3 2 3" xfId="5326" xr:uid="{00000000-0005-0000-0000-000080210000}"/>
    <cellStyle name="Note 3 2 3 2 3 2" xfId="13776" xr:uid="{12E33F5E-D59E-4611-9D98-E66730AA07D9}"/>
    <cellStyle name="Note 3 2 3 2 4" xfId="9558" xr:uid="{51B224B5-3F96-4F38-9028-CB9FBF37297D}"/>
    <cellStyle name="Note 3 2 3 3" xfId="1432" xr:uid="{00000000-0005-0000-0000-000081210000}"/>
    <cellStyle name="Note 3 2 3 3 2" xfId="3662" xr:uid="{00000000-0005-0000-0000-000082210000}"/>
    <cellStyle name="Note 3 2 3 3 2 2" xfId="7884" xr:uid="{00000000-0005-0000-0000-000083210000}"/>
    <cellStyle name="Note 3 2 3 3 2 2 2" xfId="16334" xr:uid="{967C7D68-9E3C-485A-94C0-F7571A8A2C7E}"/>
    <cellStyle name="Note 3 2 3 3 2 3" xfId="12116" xr:uid="{8F726414-ACB9-4616-A1A2-2B473D3AA1A2}"/>
    <cellStyle name="Note 3 2 3 3 3" xfId="5739" xr:uid="{00000000-0005-0000-0000-000084210000}"/>
    <cellStyle name="Note 3 2 3 3 3 2" xfId="14189" xr:uid="{7225AB83-43D0-4874-9015-45F8BCE6FF75}"/>
    <cellStyle name="Note 3 2 3 3 4" xfId="9971" xr:uid="{0944474A-A3B3-4603-88A7-1B0377E38CA9}"/>
    <cellStyle name="Note 3 2 3 4" xfId="1846" xr:uid="{00000000-0005-0000-0000-000085210000}"/>
    <cellStyle name="Note 3 2 3 4 2" xfId="4075" xr:uid="{00000000-0005-0000-0000-000086210000}"/>
    <cellStyle name="Note 3 2 3 4 2 2" xfId="8297" xr:uid="{00000000-0005-0000-0000-000087210000}"/>
    <cellStyle name="Note 3 2 3 4 2 2 2" xfId="16747" xr:uid="{DA409BD5-2CBA-4573-87FB-C9F58102FEE6}"/>
    <cellStyle name="Note 3 2 3 4 2 3" xfId="12529" xr:uid="{BD1FA281-E7AD-4BA9-A0EC-E5494254FAAD}"/>
    <cellStyle name="Note 3 2 3 4 3" xfId="6152" xr:uid="{00000000-0005-0000-0000-000088210000}"/>
    <cellStyle name="Note 3 2 3 4 3 2" xfId="14602" xr:uid="{0FD06A68-6267-4B3F-8661-0FE5DF75D9D0}"/>
    <cellStyle name="Note 3 2 3 4 4" xfId="10384" xr:uid="{32336AE5-B288-45F7-91F3-ABFEE74ECDAC}"/>
    <cellStyle name="Note 3 2 3 5" xfId="2259" xr:uid="{00000000-0005-0000-0000-000089210000}"/>
    <cellStyle name="Note 3 2 3 5 2" xfId="4488" xr:uid="{00000000-0005-0000-0000-00008A210000}"/>
    <cellStyle name="Note 3 2 3 5 2 2" xfId="8710" xr:uid="{00000000-0005-0000-0000-00008B210000}"/>
    <cellStyle name="Note 3 2 3 5 2 2 2" xfId="17160" xr:uid="{0C12C384-CD56-4070-ABC6-6AC52BA5F345}"/>
    <cellStyle name="Note 3 2 3 5 2 3" xfId="12942" xr:uid="{5D506012-AE1D-4E1F-B04E-9530206F7413}"/>
    <cellStyle name="Note 3 2 3 5 3" xfId="6565" xr:uid="{00000000-0005-0000-0000-00008C210000}"/>
    <cellStyle name="Note 3 2 3 5 3 2" xfId="15015" xr:uid="{FE830BDB-347B-4FFD-A24F-63696E117A48}"/>
    <cellStyle name="Note 3 2 3 5 4" xfId="10797" xr:uid="{8B22751C-D82D-4594-AC6E-E3AB8F404430}"/>
    <cellStyle name="Note 3 2 3 6" xfId="2695" xr:uid="{00000000-0005-0000-0000-00008D210000}"/>
    <cellStyle name="Note 3 2 3 6 2" xfId="6978" xr:uid="{00000000-0005-0000-0000-00008E210000}"/>
    <cellStyle name="Note 3 2 3 6 2 2" xfId="15428" xr:uid="{91B109FD-EFC8-4E1E-8536-65CA956C0A79}"/>
    <cellStyle name="Note 3 2 3 6 3" xfId="11210" xr:uid="{0F9DFCCE-A1D7-413A-9EF4-37644C2A60A5}"/>
    <cellStyle name="Note 3 2 3 7" xfId="2754" xr:uid="{00000000-0005-0000-0000-00008F210000}"/>
    <cellStyle name="Note 3 2 3 8" xfId="2835" xr:uid="{00000000-0005-0000-0000-000090210000}"/>
    <cellStyle name="Note 3 2 3 8 2" xfId="7058" xr:uid="{00000000-0005-0000-0000-000091210000}"/>
    <cellStyle name="Note 3 2 3 8 2 2" xfId="15508" xr:uid="{7007E9B9-2276-4104-A07E-47C598B88A4F}"/>
    <cellStyle name="Note 3 2 3 8 3" xfId="11290" xr:uid="{49D5DBEE-C4D8-4A31-A0FA-D2CE3EB9D197}"/>
    <cellStyle name="Note 3 2 3 9" xfId="4913" xr:uid="{00000000-0005-0000-0000-000092210000}"/>
    <cellStyle name="Note 3 2 3 9 2" xfId="13363" xr:uid="{5D02E07A-C2DD-4D18-9C77-C6A51053A53F}"/>
    <cellStyle name="Note 3 2 4" xfId="1014" xr:uid="{00000000-0005-0000-0000-000093210000}"/>
    <cellStyle name="Note 3 2 4 2" xfId="3246" xr:uid="{00000000-0005-0000-0000-000094210000}"/>
    <cellStyle name="Note 3 2 4 2 2" xfId="7468" xr:uid="{00000000-0005-0000-0000-000095210000}"/>
    <cellStyle name="Note 3 2 4 2 2 2" xfId="15918" xr:uid="{9212A3E3-9FD6-4406-AFAB-41A8FB6C11DE}"/>
    <cellStyle name="Note 3 2 4 2 3" xfId="11700" xr:uid="{A68DE8BE-46C6-4580-8F41-F6C715BECED8}"/>
    <cellStyle name="Note 3 2 4 3" xfId="5323" xr:uid="{00000000-0005-0000-0000-000096210000}"/>
    <cellStyle name="Note 3 2 4 3 2" xfId="13773" xr:uid="{D41B25B5-2DFD-42B0-990F-67F61362F528}"/>
    <cellStyle name="Note 3 2 4 4" xfId="9555" xr:uid="{958ED9DC-D60B-4A70-BD4C-16C6B1DE60B1}"/>
    <cellStyle name="Note 3 2 5" xfId="1429" xr:uid="{00000000-0005-0000-0000-000097210000}"/>
    <cellStyle name="Note 3 2 5 2" xfId="3659" xr:uid="{00000000-0005-0000-0000-000098210000}"/>
    <cellStyle name="Note 3 2 5 2 2" xfId="7881" xr:uid="{00000000-0005-0000-0000-000099210000}"/>
    <cellStyle name="Note 3 2 5 2 2 2" xfId="16331" xr:uid="{1F94C605-F4E2-4249-A551-A0ED56E1931E}"/>
    <cellStyle name="Note 3 2 5 2 3" xfId="12113" xr:uid="{7CF3656A-7FAB-4F2E-BABF-4C277ED51ECC}"/>
    <cellStyle name="Note 3 2 5 3" xfId="5736" xr:uid="{00000000-0005-0000-0000-00009A210000}"/>
    <cellStyle name="Note 3 2 5 3 2" xfId="14186" xr:uid="{4B1DE4DF-C521-4B33-BE49-A29122F3CA95}"/>
    <cellStyle name="Note 3 2 5 4" xfId="9968" xr:uid="{3DE75AFC-1EEB-4450-A2C2-D19890F6DEFE}"/>
    <cellStyle name="Note 3 2 6" xfId="1843" xr:uid="{00000000-0005-0000-0000-00009B210000}"/>
    <cellStyle name="Note 3 2 6 2" xfId="4072" xr:uid="{00000000-0005-0000-0000-00009C210000}"/>
    <cellStyle name="Note 3 2 6 2 2" xfId="8294" xr:uid="{00000000-0005-0000-0000-00009D210000}"/>
    <cellStyle name="Note 3 2 6 2 2 2" xfId="16744" xr:uid="{B4C7B5CB-3EF7-4B68-B312-BF5464DD004A}"/>
    <cellStyle name="Note 3 2 6 2 3" xfId="12526" xr:uid="{8FF67F09-7074-4429-BEDB-9D64C4D4CB6E}"/>
    <cellStyle name="Note 3 2 6 3" xfId="6149" xr:uid="{00000000-0005-0000-0000-00009E210000}"/>
    <cellStyle name="Note 3 2 6 3 2" xfId="14599" xr:uid="{E667A073-AF15-4DF3-9773-D35A7DB99FEF}"/>
    <cellStyle name="Note 3 2 6 4" xfId="10381" xr:uid="{58553648-9A60-4D01-9434-94E03B461341}"/>
    <cellStyle name="Note 3 2 7" xfId="2256" xr:uid="{00000000-0005-0000-0000-00009F210000}"/>
    <cellStyle name="Note 3 2 7 2" xfId="4485" xr:uid="{00000000-0005-0000-0000-0000A0210000}"/>
    <cellStyle name="Note 3 2 7 2 2" xfId="8707" xr:uid="{00000000-0005-0000-0000-0000A1210000}"/>
    <cellStyle name="Note 3 2 7 2 2 2" xfId="17157" xr:uid="{6C001E68-5E32-4A05-85F8-6B3B61024473}"/>
    <cellStyle name="Note 3 2 7 2 3" xfId="12939" xr:uid="{957D1C4F-570F-4127-9900-7CA016187E52}"/>
    <cellStyle name="Note 3 2 7 3" xfId="6562" xr:uid="{00000000-0005-0000-0000-0000A2210000}"/>
    <cellStyle name="Note 3 2 7 3 2" xfId="15012" xr:uid="{280DDF5F-57DE-4AC7-B408-436615E69E78}"/>
    <cellStyle name="Note 3 2 7 4" xfId="10794" xr:uid="{4051DB31-2266-4ACB-A6E8-B701965D251F}"/>
    <cellStyle name="Note 3 2 8" xfId="2692" xr:uid="{00000000-0005-0000-0000-0000A3210000}"/>
    <cellStyle name="Note 3 2 8 2" xfId="6975" xr:uid="{00000000-0005-0000-0000-0000A4210000}"/>
    <cellStyle name="Note 3 2 8 2 2" xfId="15425" xr:uid="{05148942-93C9-47BB-8148-B71D09818F6E}"/>
    <cellStyle name="Note 3 2 8 3" xfId="11207" xr:uid="{CAF3F049-927F-40A4-B32D-A38FA72CF9A9}"/>
    <cellStyle name="Note 3 2 9" xfId="2751" xr:uid="{00000000-0005-0000-0000-0000A5210000}"/>
    <cellStyle name="Note 3 3" xfId="558" xr:uid="{00000000-0005-0000-0000-0000A6210000}"/>
    <cellStyle name="Note 3 3 10" xfId="4914" xr:uid="{00000000-0005-0000-0000-0000A7210000}"/>
    <cellStyle name="Note 3 3 10 2" xfId="13364" xr:uid="{B6010E47-C674-4FDD-AE27-72C4C9E80128}"/>
    <cellStyle name="Note 3 3 11" xfId="9146" xr:uid="{780CC866-BC7A-4E2D-B08A-89388D21EB0C}"/>
    <cellStyle name="Note 3 3 2" xfId="559" xr:uid="{00000000-0005-0000-0000-0000A8210000}"/>
    <cellStyle name="Note 3 3 2 10" xfId="9147" xr:uid="{0AF0FBB1-3851-4024-8312-43339D655EDA}"/>
    <cellStyle name="Note 3 3 2 2" xfId="1019" xr:uid="{00000000-0005-0000-0000-0000A9210000}"/>
    <cellStyle name="Note 3 3 2 2 2" xfId="3251" xr:uid="{00000000-0005-0000-0000-0000AA210000}"/>
    <cellStyle name="Note 3 3 2 2 2 2" xfId="7473" xr:uid="{00000000-0005-0000-0000-0000AB210000}"/>
    <cellStyle name="Note 3 3 2 2 2 2 2" xfId="15923" xr:uid="{CEF00614-2437-45AF-B2C6-45015FE358CC}"/>
    <cellStyle name="Note 3 3 2 2 2 3" xfId="11705" xr:uid="{F8125651-F6DA-48C8-9B06-0F9748EA5773}"/>
    <cellStyle name="Note 3 3 2 2 3" xfId="5328" xr:uid="{00000000-0005-0000-0000-0000AC210000}"/>
    <cellStyle name="Note 3 3 2 2 3 2" xfId="13778" xr:uid="{50F584CF-4F8A-4798-B5E8-479547978215}"/>
    <cellStyle name="Note 3 3 2 2 4" xfId="9560" xr:uid="{53204BC0-CCE9-4A20-A69F-0B77EC7C9992}"/>
    <cellStyle name="Note 3 3 2 3" xfId="1434" xr:uid="{00000000-0005-0000-0000-0000AD210000}"/>
    <cellStyle name="Note 3 3 2 3 2" xfId="3664" xr:uid="{00000000-0005-0000-0000-0000AE210000}"/>
    <cellStyle name="Note 3 3 2 3 2 2" xfId="7886" xr:uid="{00000000-0005-0000-0000-0000AF210000}"/>
    <cellStyle name="Note 3 3 2 3 2 2 2" xfId="16336" xr:uid="{23AB2ECB-BA69-44C6-9B35-6ECC48BA9D52}"/>
    <cellStyle name="Note 3 3 2 3 2 3" xfId="12118" xr:uid="{93BCFEC1-6AF5-4E33-8DB9-EC7E76E9280D}"/>
    <cellStyle name="Note 3 3 2 3 3" xfId="5741" xr:uid="{00000000-0005-0000-0000-0000B0210000}"/>
    <cellStyle name="Note 3 3 2 3 3 2" xfId="14191" xr:uid="{8C42F800-0B7B-4E60-91C6-E9937AA92409}"/>
    <cellStyle name="Note 3 3 2 3 4" xfId="9973" xr:uid="{235FF457-5213-49AE-8D9C-9DCA9B1AF856}"/>
    <cellStyle name="Note 3 3 2 4" xfId="1848" xr:uid="{00000000-0005-0000-0000-0000B1210000}"/>
    <cellStyle name="Note 3 3 2 4 2" xfId="4077" xr:uid="{00000000-0005-0000-0000-0000B2210000}"/>
    <cellStyle name="Note 3 3 2 4 2 2" xfId="8299" xr:uid="{00000000-0005-0000-0000-0000B3210000}"/>
    <cellStyle name="Note 3 3 2 4 2 2 2" xfId="16749" xr:uid="{CF0566D0-76F0-49DE-930E-EA1AB53F40F8}"/>
    <cellStyle name="Note 3 3 2 4 2 3" xfId="12531" xr:uid="{9656DFCF-F921-4715-BF12-E68AEFE4C07B}"/>
    <cellStyle name="Note 3 3 2 4 3" xfId="6154" xr:uid="{00000000-0005-0000-0000-0000B4210000}"/>
    <cellStyle name="Note 3 3 2 4 3 2" xfId="14604" xr:uid="{8BF4CF0D-D38C-4853-9149-B832D1F6EA1C}"/>
    <cellStyle name="Note 3 3 2 4 4" xfId="10386" xr:uid="{BE977D03-F3AA-498E-AA9D-B460B32B8955}"/>
    <cellStyle name="Note 3 3 2 5" xfId="2261" xr:uid="{00000000-0005-0000-0000-0000B5210000}"/>
    <cellStyle name="Note 3 3 2 5 2" xfId="4490" xr:uid="{00000000-0005-0000-0000-0000B6210000}"/>
    <cellStyle name="Note 3 3 2 5 2 2" xfId="8712" xr:uid="{00000000-0005-0000-0000-0000B7210000}"/>
    <cellStyle name="Note 3 3 2 5 2 2 2" xfId="17162" xr:uid="{6234C647-F128-407B-A03C-37E1376ACA8A}"/>
    <cellStyle name="Note 3 3 2 5 2 3" xfId="12944" xr:uid="{7E1416DE-B0CC-4CF3-8477-540D67B11AE2}"/>
    <cellStyle name="Note 3 3 2 5 3" xfId="6567" xr:uid="{00000000-0005-0000-0000-0000B8210000}"/>
    <cellStyle name="Note 3 3 2 5 3 2" xfId="15017" xr:uid="{01B0D261-1346-4CFC-B2FA-52ABF6CB67FD}"/>
    <cellStyle name="Note 3 3 2 5 4" xfId="10799" xr:uid="{BB7D1744-0DFB-4BDB-B3B8-E619230FFFFD}"/>
    <cellStyle name="Note 3 3 2 6" xfId="2697" xr:uid="{00000000-0005-0000-0000-0000B9210000}"/>
    <cellStyle name="Note 3 3 2 6 2" xfId="6980" xr:uid="{00000000-0005-0000-0000-0000BA210000}"/>
    <cellStyle name="Note 3 3 2 6 2 2" xfId="15430" xr:uid="{00F0CFFF-B6F3-41BB-8341-DAAC064895E1}"/>
    <cellStyle name="Note 3 3 2 6 3" xfId="11212" xr:uid="{17C1E932-DBE0-4FDF-B2BF-33B850B21548}"/>
    <cellStyle name="Note 3 3 2 7" xfId="2756" xr:uid="{00000000-0005-0000-0000-0000BB210000}"/>
    <cellStyle name="Note 3 3 2 8" xfId="2837" xr:uid="{00000000-0005-0000-0000-0000BC210000}"/>
    <cellStyle name="Note 3 3 2 8 2" xfId="7060" xr:uid="{00000000-0005-0000-0000-0000BD210000}"/>
    <cellStyle name="Note 3 3 2 8 2 2" xfId="15510" xr:uid="{5A7F2545-F8BB-45D4-9936-0071B7C80045}"/>
    <cellStyle name="Note 3 3 2 8 3" xfId="11292" xr:uid="{667E90F6-DB1B-4409-8462-D753433F5DCB}"/>
    <cellStyle name="Note 3 3 2 9" xfId="4915" xr:uid="{00000000-0005-0000-0000-0000BE210000}"/>
    <cellStyle name="Note 3 3 2 9 2" xfId="13365" xr:uid="{DC79050B-430E-4088-B26D-AF2E8F689F31}"/>
    <cellStyle name="Note 3 3 3" xfId="1018" xr:uid="{00000000-0005-0000-0000-0000BF210000}"/>
    <cellStyle name="Note 3 3 3 2" xfId="3250" xr:uid="{00000000-0005-0000-0000-0000C0210000}"/>
    <cellStyle name="Note 3 3 3 2 2" xfId="7472" xr:uid="{00000000-0005-0000-0000-0000C1210000}"/>
    <cellStyle name="Note 3 3 3 2 2 2" xfId="15922" xr:uid="{9F248AA7-6EBC-4B53-84B0-8BB7F9D80329}"/>
    <cellStyle name="Note 3 3 3 2 3" xfId="11704" xr:uid="{EBFC011E-FC8A-4DDF-86B9-F34A729E661A}"/>
    <cellStyle name="Note 3 3 3 3" xfId="5327" xr:uid="{00000000-0005-0000-0000-0000C2210000}"/>
    <cellStyle name="Note 3 3 3 3 2" xfId="13777" xr:uid="{8A59811E-A421-44EA-9D95-8E309A2E9C37}"/>
    <cellStyle name="Note 3 3 3 4" xfId="9559" xr:uid="{8A3706A0-22EE-48BB-9D70-D7DC0419999E}"/>
    <cellStyle name="Note 3 3 4" xfId="1433" xr:uid="{00000000-0005-0000-0000-0000C3210000}"/>
    <cellStyle name="Note 3 3 4 2" xfId="3663" xr:uid="{00000000-0005-0000-0000-0000C4210000}"/>
    <cellStyle name="Note 3 3 4 2 2" xfId="7885" xr:uid="{00000000-0005-0000-0000-0000C5210000}"/>
    <cellStyle name="Note 3 3 4 2 2 2" xfId="16335" xr:uid="{CFCC6B71-D7A9-4FA0-BFC3-C3BEDDEDC525}"/>
    <cellStyle name="Note 3 3 4 2 3" xfId="12117" xr:uid="{02472523-67C2-483A-A727-9111F30CA877}"/>
    <cellStyle name="Note 3 3 4 3" xfId="5740" xr:uid="{00000000-0005-0000-0000-0000C6210000}"/>
    <cellStyle name="Note 3 3 4 3 2" xfId="14190" xr:uid="{6267E4E6-B76A-41BC-BDF5-BA5A13CD0A2E}"/>
    <cellStyle name="Note 3 3 4 4" xfId="9972" xr:uid="{341F7E01-C29A-4481-99D3-AFAE20E1C190}"/>
    <cellStyle name="Note 3 3 5" xfId="1847" xr:uid="{00000000-0005-0000-0000-0000C7210000}"/>
    <cellStyle name="Note 3 3 5 2" xfId="4076" xr:uid="{00000000-0005-0000-0000-0000C8210000}"/>
    <cellStyle name="Note 3 3 5 2 2" xfId="8298" xr:uid="{00000000-0005-0000-0000-0000C9210000}"/>
    <cellStyle name="Note 3 3 5 2 2 2" xfId="16748" xr:uid="{653ECC99-91AB-42FD-964C-933EFF068B24}"/>
    <cellStyle name="Note 3 3 5 2 3" xfId="12530" xr:uid="{F780F365-72D9-4030-903C-CDDEEE34ECF6}"/>
    <cellStyle name="Note 3 3 5 3" xfId="6153" xr:uid="{00000000-0005-0000-0000-0000CA210000}"/>
    <cellStyle name="Note 3 3 5 3 2" xfId="14603" xr:uid="{0C601411-7BC9-4607-9821-BCADD1BDD047}"/>
    <cellStyle name="Note 3 3 5 4" xfId="10385" xr:uid="{A8483632-7CF5-4D38-BCE7-1188B0152AA3}"/>
    <cellStyle name="Note 3 3 6" xfId="2260" xr:uid="{00000000-0005-0000-0000-0000CB210000}"/>
    <cellStyle name="Note 3 3 6 2" xfId="4489" xr:uid="{00000000-0005-0000-0000-0000CC210000}"/>
    <cellStyle name="Note 3 3 6 2 2" xfId="8711" xr:uid="{00000000-0005-0000-0000-0000CD210000}"/>
    <cellStyle name="Note 3 3 6 2 2 2" xfId="17161" xr:uid="{51833241-120C-4023-A5F0-1FC639A38933}"/>
    <cellStyle name="Note 3 3 6 2 3" xfId="12943" xr:uid="{15489DE7-7136-4252-85E6-7267A6EF97F8}"/>
    <cellStyle name="Note 3 3 6 3" xfId="6566" xr:uid="{00000000-0005-0000-0000-0000CE210000}"/>
    <cellStyle name="Note 3 3 6 3 2" xfId="15016" xr:uid="{62FED819-8D71-4F8E-8D56-E491293AE526}"/>
    <cellStyle name="Note 3 3 6 4" xfId="10798" xr:uid="{B8C01EA0-7A96-425A-BF91-4E608AC6CB99}"/>
    <cellStyle name="Note 3 3 7" xfId="2696" xr:uid="{00000000-0005-0000-0000-0000CF210000}"/>
    <cellStyle name="Note 3 3 7 2" xfId="6979" xr:uid="{00000000-0005-0000-0000-0000D0210000}"/>
    <cellStyle name="Note 3 3 7 2 2" xfId="15429" xr:uid="{5EAB3D8C-6C96-4A4B-8D5F-6D0E889DA93D}"/>
    <cellStyle name="Note 3 3 7 3" xfId="11211" xr:uid="{0B6CF686-DDF0-48B3-B8E3-B34789E63994}"/>
    <cellStyle name="Note 3 3 8" xfId="2755" xr:uid="{00000000-0005-0000-0000-0000D1210000}"/>
    <cellStyle name="Note 3 3 9" xfId="2836" xr:uid="{00000000-0005-0000-0000-0000D2210000}"/>
    <cellStyle name="Note 3 3 9 2" xfId="7059" xr:uid="{00000000-0005-0000-0000-0000D3210000}"/>
    <cellStyle name="Note 3 3 9 2 2" xfId="15509" xr:uid="{8DE8EDFA-21E7-4C9F-872A-E41D0E2F5A99}"/>
    <cellStyle name="Note 3 3 9 3" xfId="11291" xr:uid="{4081A20D-3366-4D3C-AADF-125B4A5A2C47}"/>
    <cellStyle name="Note 3 4" xfId="560" xr:uid="{00000000-0005-0000-0000-0000D4210000}"/>
    <cellStyle name="Note 3 4 10" xfId="9148" xr:uid="{99A5BE1A-BD36-4FA1-B5F1-F0C6E43A5334}"/>
    <cellStyle name="Note 3 4 2" xfId="1020" xr:uid="{00000000-0005-0000-0000-0000D5210000}"/>
    <cellStyle name="Note 3 4 2 2" xfId="3252" xr:uid="{00000000-0005-0000-0000-0000D6210000}"/>
    <cellStyle name="Note 3 4 2 2 2" xfId="7474" xr:uid="{00000000-0005-0000-0000-0000D7210000}"/>
    <cellStyle name="Note 3 4 2 2 2 2" xfId="15924" xr:uid="{EF7EB6A7-8CCB-4EC9-8837-D06E1E60952D}"/>
    <cellStyle name="Note 3 4 2 2 3" xfId="11706" xr:uid="{A23A9C44-7940-4421-9B8E-030B3E89197A}"/>
    <cellStyle name="Note 3 4 2 3" xfId="5329" xr:uid="{00000000-0005-0000-0000-0000D8210000}"/>
    <cellStyle name="Note 3 4 2 3 2" xfId="13779" xr:uid="{35C3FBE1-3378-498E-A8F5-B27B26D6647C}"/>
    <cellStyle name="Note 3 4 2 4" xfId="9561" xr:uid="{55AF1337-ADE6-4C56-83C4-FDFCFAED964A}"/>
    <cellStyle name="Note 3 4 3" xfId="1435" xr:uid="{00000000-0005-0000-0000-0000D9210000}"/>
    <cellStyle name="Note 3 4 3 2" xfId="3665" xr:uid="{00000000-0005-0000-0000-0000DA210000}"/>
    <cellStyle name="Note 3 4 3 2 2" xfId="7887" xr:uid="{00000000-0005-0000-0000-0000DB210000}"/>
    <cellStyle name="Note 3 4 3 2 2 2" xfId="16337" xr:uid="{E7667B03-1D47-4CA0-8EBC-9E9BC8EE5DC4}"/>
    <cellStyle name="Note 3 4 3 2 3" xfId="12119" xr:uid="{8294C57F-83DF-4227-AFFF-0B73058DD1AE}"/>
    <cellStyle name="Note 3 4 3 3" xfId="5742" xr:uid="{00000000-0005-0000-0000-0000DC210000}"/>
    <cellStyle name="Note 3 4 3 3 2" xfId="14192" xr:uid="{97271DB7-2C49-41C4-A67B-A84B8AA706A4}"/>
    <cellStyle name="Note 3 4 3 4" xfId="9974" xr:uid="{2EBD3548-2EB5-47B3-888F-6C8E7CB92EB8}"/>
    <cellStyle name="Note 3 4 4" xfId="1849" xr:uid="{00000000-0005-0000-0000-0000DD210000}"/>
    <cellStyle name="Note 3 4 4 2" xfId="4078" xr:uid="{00000000-0005-0000-0000-0000DE210000}"/>
    <cellStyle name="Note 3 4 4 2 2" xfId="8300" xr:uid="{00000000-0005-0000-0000-0000DF210000}"/>
    <cellStyle name="Note 3 4 4 2 2 2" xfId="16750" xr:uid="{1B77E3F0-BB25-4BB6-BC42-637F9678600C}"/>
    <cellStyle name="Note 3 4 4 2 3" xfId="12532" xr:uid="{F62F6891-78F0-4FA3-A361-05E77A450660}"/>
    <cellStyle name="Note 3 4 4 3" xfId="6155" xr:uid="{00000000-0005-0000-0000-0000E0210000}"/>
    <cellStyle name="Note 3 4 4 3 2" xfId="14605" xr:uid="{6C8E771A-ADFA-4B9C-BC31-4663B796EB18}"/>
    <cellStyle name="Note 3 4 4 4" xfId="10387" xr:uid="{B8DC07D9-92B0-49D2-86BD-D2BCDE1CAC33}"/>
    <cellStyle name="Note 3 4 5" xfId="2262" xr:uid="{00000000-0005-0000-0000-0000E1210000}"/>
    <cellStyle name="Note 3 4 5 2" xfId="4491" xr:uid="{00000000-0005-0000-0000-0000E2210000}"/>
    <cellStyle name="Note 3 4 5 2 2" xfId="8713" xr:uid="{00000000-0005-0000-0000-0000E3210000}"/>
    <cellStyle name="Note 3 4 5 2 2 2" xfId="17163" xr:uid="{50665AEE-2C0D-4C65-A3D8-C5F6F302C7AE}"/>
    <cellStyle name="Note 3 4 5 2 3" xfId="12945" xr:uid="{54EC08D7-6AFD-45FC-A5C2-18F4321DF911}"/>
    <cellStyle name="Note 3 4 5 3" xfId="6568" xr:uid="{00000000-0005-0000-0000-0000E4210000}"/>
    <cellStyle name="Note 3 4 5 3 2" xfId="15018" xr:uid="{DBCC8098-965C-4BB4-9EFD-C54956672B5A}"/>
    <cellStyle name="Note 3 4 5 4" xfId="10800" xr:uid="{C442F974-1FD3-45B2-95CE-4774A2EEC40F}"/>
    <cellStyle name="Note 3 4 6" xfId="2698" xr:uid="{00000000-0005-0000-0000-0000E5210000}"/>
    <cellStyle name="Note 3 4 6 2" xfId="6981" xr:uid="{00000000-0005-0000-0000-0000E6210000}"/>
    <cellStyle name="Note 3 4 6 2 2" xfId="15431" xr:uid="{25744E42-A5BA-4FAE-94D4-48FCCACC385C}"/>
    <cellStyle name="Note 3 4 6 3" xfId="11213" xr:uid="{C83C6D7B-723B-493A-8CCA-C112FB98780F}"/>
    <cellStyle name="Note 3 4 7" xfId="2757" xr:uid="{00000000-0005-0000-0000-0000E7210000}"/>
    <cellStyle name="Note 3 4 8" xfId="2838" xr:uid="{00000000-0005-0000-0000-0000E8210000}"/>
    <cellStyle name="Note 3 4 8 2" xfId="7061" xr:uid="{00000000-0005-0000-0000-0000E9210000}"/>
    <cellStyle name="Note 3 4 8 2 2" xfId="15511" xr:uid="{36FA42F2-58BB-4C05-9AEF-E655FC5B5F3C}"/>
    <cellStyle name="Note 3 4 8 3" xfId="11293" xr:uid="{40BCCA26-7DCC-4415-BBAE-8B435BD0698D}"/>
    <cellStyle name="Note 3 4 9" xfId="4916" xr:uid="{00000000-0005-0000-0000-0000EA210000}"/>
    <cellStyle name="Note 3 4 9 2" xfId="13366" xr:uid="{19058C09-9FA7-475A-96EF-D7635E48DF09}"/>
    <cellStyle name="Note 3 5" xfId="561" xr:uid="{00000000-0005-0000-0000-0000EB210000}"/>
    <cellStyle name="Note 3 5 10" xfId="9149" xr:uid="{990AAA35-B191-425F-8AE4-C8995C94BE9A}"/>
    <cellStyle name="Note 3 5 2" xfId="1021" xr:uid="{00000000-0005-0000-0000-0000EC210000}"/>
    <cellStyle name="Note 3 5 2 2" xfId="3253" xr:uid="{00000000-0005-0000-0000-0000ED210000}"/>
    <cellStyle name="Note 3 5 2 2 2" xfId="7475" xr:uid="{00000000-0005-0000-0000-0000EE210000}"/>
    <cellStyle name="Note 3 5 2 2 2 2" xfId="15925" xr:uid="{2E789467-DE74-4BD1-B3E7-8F3027B40979}"/>
    <cellStyle name="Note 3 5 2 2 3" xfId="11707" xr:uid="{310D2964-BB1B-4856-943E-03BF09CD5421}"/>
    <cellStyle name="Note 3 5 2 3" xfId="5330" xr:uid="{00000000-0005-0000-0000-0000EF210000}"/>
    <cellStyle name="Note 3 5 2 3 2" xfId="13780" xr:uid="{D2D61EB4-B228-4629-9BC4-A3835F45DF19}"/>
    <cellStyle name="Note 3 5 2 4" xfId="9562" xr:uid="{AAA579FF-9B3C-48A5-9AE2-F2DCFABD5E3F}"/>
    <cellStyle name="Note 3 5 3" xfId="1436" xr:uid="{00000000-0005-0000-0000-0000F0210000}"/>
    <cellStyle name="Note 3 5 3 2" xfId="3666" xr:uid="{00000000-0005-0000-0000-0000F1210000}"/>
    <cellStyle name="Note 3 5 3 2 2" xfId="7888" xr:uid="{00000000-0005-0000-0000-0000F2210000}"/>
    <cellStyle name="Note 3 5 3 2 2 2" xfId="16338" xr:uid="{109A3CA0-46BC-47C8-AAB7-B9098D667AA0}"/>
    <cellStyle name="Note 3 5 3 2 3" xfId="12120" xr:uid="{BB0FC87A-95D8-4A3A-83D0-62BA9CE27886}"/>
    <cellStyle name="Note 3 5 3 3" xfId="5743" xr:uid="{00000000-0005-0000-0000-0000F3210000}"/>
    <cellStyle name="Note 3 5 3 3 2" xfId="14193" xr:uid="{5431980B-D81C-4E88-A8EE-FF126C4531D5}"/>
    <cellStyle name="Note 3 5 3 4" xfId="9975" xr:uid="{70B1FE1C-417D-4474-AD73-3BDD34996DCF}"/>
    <cellStyle name="Note 3 5 4" xfId="1850" xr:uid="{00000000-0005-0000-0000-0000F4210000}"/>
    <cellStyle name="Note 3 5 4 2" xfId="4079" xr:uid="{00000000-0005-0000-0000-0000F5210000}"/>
    <cellStyle name="Note 3 5 4 2 2" xfId="8301" xr:uid="{00000000-0005-0000-0000-0000F6210000}"/>
    <cellStyle name="Note 3 5 4 2 2 2" xfId="16751" xr:uid="{FE5BDE59-7B1E-4DF8-AFC4-7F245F1FBF05}"/>
    <cellStyle name="Note 3 5 4 2 3" xfId="12533" xr:uid="{1239404E-B772-4625-A2FE-5C7ACD83045F}"/>
    <cellStyle name="Note 3 5 4 3" xfId="6156" xr:uid="{00000000-0005-0000-0000-0000F7210000}"/>
    <cellStyle name="Note 3 5 4 3 2" xfId="14606" xr:uid="{E968D76D-F1F8-41F4-9FA3-1B4AA5AC2581}"/>
    <cellStyle name="Note 3 5 4 4" xfId="10388" xr:uid="{C13AE648-74BE-4A47-B0EA-084FC683FFC5}"/>
    <cellStyle name="Note 3 5 5" xfId="2263" xr:uid="{00000000-0005-0000-0000-0000F8210000}"/>
    <cellStyle name="Note 3 5 5 2" xfId="4492" xr:uid="{00000000-0005-0000-0000-0000F9210000}"/>
    <cellStyle name="Note 3 5 5 2 2" xfId="8714" xr:uid="{00000000-0005-0000-0000-0000FA210000}"/>
    <cellStyle name="Note 3 5 5 2 2 2" xfId="17164" xr:uid="{43C534A6-33BE-4F35-AA85-2DFC7FE22C55}"/>
    <cellStyle name="Note 3 5 5 2 3" xfId="12946" xr:uid="{84077293-A1D0-4047-8E7E-D178F48D5518}"/>
    <cellStyle name="Note 3 5 5 3" xfId="6569" xr:uid="{00000000-0005-0000-0000-0000FB210000}"/>
    <cellStyle name="Note 3 5 5 3 2" xfId="15019" xr:uid="{9533DF7E-37D5-42BF-A74C-2979979EFA94}"/>
    <cellStyle name="Note 3 5 5 4" xfId="10801" xr:uid="{1E060EE4-541A-41F6-98BF-A38D09958B2F}"/>
    <cellStyle name="Note 3 5 6" xfId="2699" xr:uid="{00000000-0005-0000-0000-0000FC210000}"/>
    <cellStyle name="Note 3 5 6 2" xfId="6982" xr:uid="{00000000-0005-0000-0000-0000FD210000}"/>
    <cellStyle name="Note 3 5 6 2 2" xfId="15432" xr:uid="{6A55D5B8-D786-4820-A3F6-E26B0DD93A4B}"/>
    <cellStyle name="Note 3 5 6 3" xfId="11214" xr:uid="{37D93255-2108-401D-9E79-A05F0C0EEA80}"/>
    <cellStyle name="Note 3 5 7" xfId="2758" xr:uid="{00000000-0005-0000-0000-0000FE210000}"/>
    <cellStyle name="Note 3 5 8" xfId="2839" xr:uid="{00000000-0005-0000-0000-0000FF210000}"/>
    <cellStyle name="Note 3 5 8 2" xfId="7062" xr:uid="{00000000-0005-0000-0000-000000220000}"/>
    <cellStyle name="Note 3 5 8 2 2" xfId="15512" xr:uid="{D83F62BB-79A0-4043-BB7A-97E3FA8E1EF6}"/>
    <cellStyle name="Note 3 5 8 3" xfId="11294" xr:uid="{74D28FCA-2249-4BD8-9D3D-94177F58FF35}"/>
    <cellStyle name="Note 3 5 9" xfId="4917" xr:uid="{00000000-0005-0000-0000-000001220000}"/>
    <cellStyle name="Note 3 5 9 2" xfId="13367" xr:uid="{57AFE2E1-60FE-455A-ABA3-0E3D99B71D7F}"/>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50" xr:uid="{7FAB9141-76E8-4C7D-B4AC-AFA691665E42}"/>
    <cellStyle name="Percent 4" xfId="4502" xr:uid="{00000000-0005-0000-0000-000007220000}"/>
    <cellStyle name="Percent 4 2" xfId="8717" xr:uid="{00000000-0005-0000-0000-000008220000}"/>
    <cellStyle name="Percent 4 2 2" xfId="17167" xr:uid="{CD6228F8-7846-4A25-B99B-26F050E12397}"/>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Percent 4 3 2 2 3" xfId="17176" xr:uid="{E165D5AE-706D-4D7B-92C8-936FB2B5AAD6}"/>
    <cellStyle name="Percent 4 3 2 3" xfId="17173" xr:uid="{CCAC4BB3-B86E-4058-8C45-0933DDFF02D2}"/>
    <cellStyle name="Percent 4 3 3" xfId="17170" xr:uid="{30D0C27D-E2AF-4BC3-957F-01E9939B49BA}"/>
    <cellStyle name="Percent 4 4" xfId="12953" xr:uid="{DA18C5BF-713A-408B-8A70-35DBD4E2EAFF}"/>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4" t="s">
        <v>551</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6" t="s">
        <v>2036</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54"/>
    </row>
    <row r="8" spans="1:38">
      <c r="A8" s="204"/>
      <c r="B8" s="204"/>
      <c r="C8" s="205"/>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54"/>
    </row>
    <row r="9" spans="1:38">
      <c r="A9" s="204"/>
      <c r="B9" s="204"/>
      <c r="C9" s="205"/>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54"/>
    </row>
    <row r="10" spans="1:38">
      <c r="A10" s="204"/>
      <c r="B10" s="204"/>
      <c r="C10" s="205"/>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4"/>
      <c r="AJ10" s="454"/>
      <c r="AK10" s="454"/>
      <c r="AL10" s="454"/>
    </row>
    <row r="11" spans="1:38" ht="12.95" customHeight="1">
      <c r="A11" s="204"/>
      <c r="B11" s="204"/>
      <c r="C11" s="205"/>
      <c r="D11" s="1266" t="s">
        <v>2037</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54"/>
    </row>
    <row r="12" spans="1:38">
      <c r="A12" s="204"/>
      <c r="B12" s="204"/>
      <c r="C12" s="205"/>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54"/>
    </row>
    <row r="13" spans="1:38">
      <c r="A13" s="204"/>
      <c r="B13" s="204"/>
      <c r="C13" s="205"/>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54"/>
    </row>
    <row r="14" spans="1:38">
      <c r="A14" s="204"/>
      <c r="B14" s="204"/>
      <c r="C14" s="205"/>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54"/>
    </row>
    <row r="15" spans="1:38" ht="13.35" customHeight="1">
      <c r="A15" s="204"/>
      <c r="B15" s="204"/>
      <c r="C15" s="205"/>
      <c r="D15" s="1266" t="s">
        <v>2606</v>
      </c>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54"/>
    </row>
    <row r="16" spans="1:38" ht="13.35" customHeight="1">
      <c r="A16" s="204"/>
      <c r="B16" s="204"/>
      <c r="C16" s="205"/>
      <c r="D16" s="1266"/>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54"/>
    </row>
    <row r="17" spans="1:38">
      <c r="A17" s="204"/>
      <c r="B17" s="204"/>
      <c r="C17" s="205"/>
      <c r="D17" s="1266"/>
      <c r="E17" s="1266"/>
      <c r="F17" s="1266"/>
      <c r="G17" s="1266"/>
      <c r="H17" s="1266"/>
      <c r="I17" s="1266"/>
      <c r="J17" s="1266"/>
      <c r="K17" s="1266"/>
      <c r="L17" s="1266"/>
      <c r="M17" s="1266"/>
      <c r="N17" s="1266"/>
      <c r="O17" s="1266"/>
      <c r="P17" s="1266"/>
      <c r="Q17" s="1266"/>
      <c r="R17" s="1266"/>
      <c r="S17" s="1266"/>
      <c r="T17" s="1266"/>
      <c r="U17" s="1266"/>
      <c r="V17" s="1266"/>
      <c r="W17" s="1266"/>
      <c r="X17" s="1266"/>
      <c r="Y17" s="1266"/>
      <c r="Z17" s="1266"/>
      <c r="AA17" s="1266"/>
      <c r="AB17" s="1266"/>
      <c r="AC17" s="1266"/>
      <c r="AD17" s="1266"/>
      <c r="AE17" s="1266"/>
      <c r="AF17" s="1266"/>
      <c r="AG17" s="1266"/>
      <c r="AH17" s="1266"/>
      <c r="AI17" s="1266"/>
      <c r="AJ17" s="1266"/>
      <c r="AK17" s="1266"/>
      <c r="AL17" s="454"/>
    </row>
    <row r="18" spans="1:38">
      <c r="A18" s="204"/>
      <c r="B18" s="204"/>
      <c r="C18" s="205"/>
      <c r="D18" s="518" t="s">
        <v>2605</v>
      </c>
      <c r="E18" s="440"/>
      <c r="G18" s="440"/>
      <c r="H18" s="440"/>
      <c r="I18" s="440"/>
      <c r="J18" s="1268" t="s">
        <v>2604</v>
      </c>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454"/>
    </row>
    <row r="19" spans="1:38">
      <c r="A19" s="204"/>
      <c r="B19" s="204"/>
      <c r="C19" s="205"/>
      <c r="D19" s="440"/>
      <c r="E19" s="440"/>
      <c r="F19" s="1253"/>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440"/>
      <c r="AJ19" s="440"/>
      <c r="AK19" s="440"/>
      <c r="AL19" s="454"/>
    </row>
    <row r="20" spans="1:38" ht="13.35" customHeight="1">
      <c r="A20" s="204"/>
      <c r="B20" s="204"/>
      <c r="C20" s="205"/>
      <c r="D20" s="1266" t="s">
        <v>2038</v>
      </c>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04"/>
    </row>
    <row r="21" spans="1:38">
      <c r="A21" s="204"/>
      <c r="B21" s="204"/>
      <c r="C21" s="205"/>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04"/>
    </row>
    <row r="22" spans="1:38">
      <c r="A22" s="204"/>
      <c r="B22" s="204"/>
      <c r="C22" s="205"/>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04"/>
    </row>
    <row r="23" spans="1:38" ht="13.35" customHeight="1">
      <c r="A23" s="204"/>
      <c r="B23" s="204"/>
      <c r="C23" s="205"/>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04"/>
    </row>
    <row r="24" spans="1:38">
      <c r="A24" s="204"/>
      <c r="B24" s="204"/>
      <c r="C24" s="205"/>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04"/>
    </row>
    <row r="25" spans="1:38">
      <c r="A25" s="204"/>
      <c r="B25" s="204"/>
      <c r="C25" s="205"/>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04"/>
    </row>
    <row r="26" spans="1:38">
      <c r="A26" s="204"/>
      <c r="B26" s="204"/>
      <c r="C26" s="205"/>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04"/>
    </row>
    <row r="27" spans="1:38">
      <c r="A27" s="204"/>
      <c r="B27" s="204"/>
      <c r="C27" s="205"/>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04"/>
    </row>
    <row r="28" spans="1:38">
      <c r="A28" s="204"/>
      <c r="B28" s="204"/>
      <c r="C28" s="205"/>
      <c r="D28" s="1266"/>
      <c r="E28" s="1266"/>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04"/>
    </row>
    <row r="29" spans="1:38">
      <c r="A29" s="204"/>
      <c r="B29" s="204"/>
      <c r="C29" s="205"/>
      <c r="D29" s="44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204"/>
    </row>
    <row r="30" spans="1:38" ht="13.35" customHeight="1">
      <c r="A30" s="204"/>
      <c r="B30" s="204"/>
      <c r="C30" s="205"/>
      <c r="D30" s="1266" t="s">
        <v>2039</v>
      </c>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04"/>
    </row>
    <row r="31" spans="1:38">
      <c r="A31" s="204"/>
      <c r="B31" s="204"/>
      <c r="C31" s="205"/>
      <c r="D31" s="454"/>
      <c r="E31" s="1274" t="s">
        <v>2520</v>
      </c>
      <c r="F31" s="1275"/>
      <c r="G31" s="1275"/>
      <c r="H31" s="1275"/>
      <c r="I31" s="1275"/>
      <c r="J31" s="1275"/>
      <c r="K31" s="1275"/>
      <c r="L31" s="1275"/>
      <c r="M31" s="1275"/>
      <c r="N31" s="1275"/>
      <c r="O31" s="1275"/>
      <c r="P31" s="1275"/>
      <c r="Q31" s="1275"/>
      <c r="R31" s="1275"/>
      <c r="S31" s="1275"/>
      <c r="T31" s="1275"/>
      <c r="U31" s="1275"/>
      <c r="V31" s="1275"/>
      <c r="W31" s="1275"/>
      <c r="X31" s="1275"/>
      <c r="Y31" s="1275"/>
      <c r="Z31" s="1275"/>
      <c r="AA31" s="1275"/>
      <c r="AB31" s="1275"/>
      <c r="AC31" s="1275"/>
      <c r="AD31" s="1275"/>
      <c r="AE31" s="1275"/>
      <c r="AF31" s="1275"/>
      <c r="AG31" s="1275"/>
      <c r="AH31" s="1275"/>
      <c r="AI31" s="1275"/>
      <c r="AJ31" s="1275"/>
      <c r="AK31" s="1275"/>
      <c r="AL31" s="204"/>
    </row>
    <row r="32" spans="1:38">
      <c r="A32" s="4"/>
      <c r="C32" s="2"/>
    </row>
    <row r="33" spans="1:38">
      <c r="A33" s="4"/>
      <c r="D33" s="1267" t="s">
        <v>2143</v>
      </c>
      <c r="E33" s="1267"/>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row>
    <row r="34" spans="1:38">
      <c r="A34" s="4"/>
      <c r="D34" s="1267"/>
      <c r="E34" s="1267"/>
      <c r="F34" s="1267"/>
      <c r="G34" s="1267"/>
      <c r="H34" s="1267"/>
      <c r="I34" s="1267"/>
      <c r="J34" s="1267"/>
      <c r="K34" s="1267"/>
      <c r="L34" s="1267"/>
      <c r="M34" s="1267"/>
      <c r="N34" s="1267"/>
      <c r="O34" s="1267"/>
      <c r="P34" s="1267"/>
      <c r="Q34" s="1267"/>
      <c r="R34" s="1267"/>
      <c r="S34" s="1267"/>
      <c r="T34" s="1267"/>
      <c r="U34" s="1267"/>
      <c r="V34" s="1267"/>
      <c r="W34" s="1267"/>
      <c r="X34" s="1267"/>
      <c r="Y34" s="1267"/>
      <c r="Z34" s="1267"/>
      <c r="AA34" s="1267"/>
      <c r="AB34" s="1267"/>
      <c r="AC34" s="1267"/>
      <c r="AD34" s="1267"/>
      <c r="AE34" s="1267"/>
      <c r="AF34" s="1267"/>
      <c r="AG34" s="1267"/>
      <c r="AH34" s="1267"/>
      <c r="AI34" s="1267"/>
      <c r="AJ34" s="1267"/>
      <c r="AK34" s="1267"/>
    </row>
    <row r="35" spans="1:38">
      <c r="A35" s="4"/>
      <c r="D35" s="120"/>
      <c r="E35" s="1273" t="s">
        <v>2046</v>
      </c>
      <c r="F35" s="1273"/>
      <c r="G35" s="1273"/>
      <c r="H35" s="1273"/>
      <c r="I35" s="1273"/>
      <c r="J35" s="1273"/>
      <c r="K35" s="1273"/>
      <c r="L35" s="1273"/>
      <c r="M35" s="1273"/>
      <c r="N35" s="1273"/>
      <c r="O35" s="1273"/>
      <c r="P35" s="1273"/>
      <c r="Q35" s="1273"/>
      <c r="R35" s="1273"/>
      <c r="S35" s="1273"/>
      <c r="T35" s="1273"/>
      <c r="U35" s="1273"/>
      <c r="V35" s="1273"/>
      <c r="W35" s="1273"/>
      <c r="X35" s="1273"/>
      <c r="Y35" s="1273"/>
      <c r="Z35" s="1273"/>
      <c r="AA35" s="1273"/>
      <c r="AB35" s="1273"/>
      <c r="AC35" s="1273"/>
      <c r="AD35" s="1273"/>
      <c r="AE35" s="1273"/>
      <c r="AF35" s="1273"/>
      <c r="AG35" s="1273"/>
      <c r="AH35" s="1273"/>
      <c r="AI35" s="1273"/>
      <c r="AJ35" s="1273"/>
      <c r="AK35" s="1273"/>
    </row>
    <row r="36" spans="1:38">
      <c r="A36" s="4"/>
      <c r="D36" s="120"/>
      <c r="E36" s="1273" t="s">
        <v>2047</v>
      </c>
      <c r="F36" s="1273"/>
      <c r="G36" s="1273"/>
      <c r="H36" s="1273"/>
      <c r="I36" s="1273"/>
      <c r="J36" s="1273"/>
      <c r="K36" s="1273"/>
      <c r="L36" s="1273"/>
      <c r="M36" s="1273"/>
      <c r="N36" s="1273"/>
      <c r="O36" s="1273"/>
      <c r="P36" s="1273"/>
      <c r="Q36" s="1273"/>
      <c r="R36" s="1273"/>
      <c r="S36" s="1273"/>
      <c r="T36" s="1273"/>
      <c r="U36" s="1273"/>
      <c r="V36" s="1273"/>
      <c r="W36" s="1273"/>
      <c r="X36" s="1273"/>
      <c r="Y36" s="1273"/>
      <c r="Z36" s="1273"/>
      <c r="AA36" s="1273"/>
      <c r="AB36" s="1273"/>
      <c r="AC36" s="1273"/>
      <c r="AD36" s="1273"/>
      <c r="AE36" s="1273"/>
      <c r="AF36" s="1273"/>
      <c r="AG36" s="1273"/>
      <c r="AH36" s="1273"/>
      <c r="AI36" s="1273"/>
      <c r="AJ36" s="1273"/>
      <c r="AK36" s="1273"/>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6" customFormat="1" ht="13.35" customHeight="1">
      <c r="A40" s="4"/>
      <c r="B40"/>
      <c r="C40" s="2"/>
      <c r="D40" s="4"/>
      <c r="E40" s="4" t="s">
        <v>654</v>
      </c>
      <c r="F40" s="1266" t="s">
        <v>1165</v>
      </c>
    </row>
    <row r="41" spans="1:38" s="1266" customFormat="1" ht="13.35" customHeight="1">
      <c r="A41" s="4"/>
      <c r="B41"/>
      <c r="C41" s="2"/>
      <c r="D41" s="4"/>
      <c r="E41" s="4"/>
    </row>
    <row r="42" spans="1:38">
      <c r="A42" s="4"/>
      <c r="C42" s="2"/>
      <c r="D42" s="4"/>
      <c r="E42" s="4"/>
      <c r="F42" s="35" t="s">
        <v>688</v>
      </c>
      <c r="G42" s="4" t="s">
        <v>176</v>
      </c>
      <c r="H42" s="454"/>
      <c r="I42" s="454"/>
      <c r="J42" s="454"/>
      <c r="K42" s="454"/>
      <c r="L42" s="454"/>
      <c r="M42" s="454"/>
      <c r="N42" s="454"/>
      <c r="O42" s="454"/>
      <c r="P42" s="454"/>
      <c r="Q42" s="454"/>
      <c r="R42" s="454"/>
      <c r="S42" s="454"/>
      <c r="T42" s="454"/>
      <c r="U42" s="454"/>
      <c r="V42" s="454"/>
      <c r="W42" s="454"/>
      <c r="X42" s="454"/>
      <c r="Y42" s="454"/>
      <c r="Z42" s="454"/>
      <c r="AA42" s="454"/>
      <c r="AB42" s="454"/>
      <c r="AC42" s="454"/>
      <c r="AD42" s="454"/>
      <c r="AE42" s="454"/>
      <c r="AF42" s="454"/>
      <c r="AG42" s="454"/>
      <c r="AH42" s="454"/>
      <c r="AI42" s="454"/>
      <c r="AJ42" s="454"/>
      <c r="AK42" s="454"/>
    </row>
    <row r="43" spans="1:38" s="118" customFormat="1" ht="13.35" customHeight="1">
      <c r="A43" s="4"/>
      <c r="B43"/>
      <c r="C43" s="2"/>
      <c r="D43" s="4"/>
      <c r="E43" s="3" t="s">
        <v>348</v>
      </c>
      <c r="F43" s="1271" t="s">
        <v>1247</v>
      </c>
      <c r="G43" s="1271"/>
      <c r="H43" s="1271"/>
      <c r="I43" s="1271"/>
      <c r="J43" s="1271"/>
      <c r="K43" s="1271"/>
      <c r="L43" s="1271"/>
      <c r="M43" s="1271"/>
      <c r="N43" s="1271"/>
      <c r="O43" s="1271"/>
      <c r="P43" s="1271"/>
      <c r="Q43" s="1271"/>
      <c r="R43" s="1271"/>
      <c r="S43" s="1271"/>
      <c r="T43" s="1271"/>
      <c r="U43" s="1271"/>
      <c r="V43" s="1271"/>
      <c r="W43" s="1271"/>
      <c r="X43" s="1271"/>
      <c r="Y43" s="1271"/>
      <c r="Z43" s="1271"/>
      <c r="AA43" s="1271"/>
      <c r="AB43" s="1271"/>
      <c r="AC43" s="1271"/>
      <c r="AD43" s="1271"/>
      <c r="AE43" s="1271"/>
      <c r="AF43" s="1271"/>
      <c r="AG43" s="1271"/>
      <c r="AH43" s="1271"/>
      <c r="AI43" s="1271"/>
      <c r="AJ43" s="1271"/>
      <c r="AK43" s="1271"/>
      <c r="AL43" s="1271"/>
    </row>
    <row r="44" spans="1:38" s="118" customFormat="1">
      <c r="A44" s="4"/>
      <c r="B44"/>
      <c r="C44" s="2"/>
      <c r="D44" s="4"/>
      <c r="E44" s="4"/>
      <c r="F44" s="1271"/>
      <c r="G44" s="1271"/>
      <c r="H44" s="1271"/>
      <c r="I44" s="1271"/>
      <c r="J44" s="1271"/>
      <c r="K44" s="1271"/>
      <c r="L44" s="1271"/>
      <c r="M44" s="1271"/>
      <c r="N44" s="1271"/>
      <c r="O44" s="1271"/>
      <c r="P44" s="1271"/>
      <c r="Q44" s="1271"/>
      <c r="R44" s="1271"/>
      <c r="S44" s="1271"/>
      <c r="T44" s="1271"/>
      <c r="U44" s="1271"/>
      <c r="V44" s="1271"/>
      <c r="W44" s="1271"/>
      <c r="X44" s="1271"/>
      <c r="Y44" s="1271"/>
      <c r="Z44" s="1271"/>
      <c r="AA44" s="1271"/>
      <c r="AB44" s="1271"/>
      <c r="AC44" s="1271"/>
      <c r="AD44" s="1271"/>
      <c r="AE44" s="1271"/>
      <c r="AF44" s="1271"/>
      <c r="AG44" s="1271"/>
      <c r="AH44" s="1271"/>
      <c r="AI44" s="1271"/>
      <c r="AJ44" s="1271"/>
      <c r="AK44" s="1271"/>
      <c r="AL44" s="1271"/>
    </row>
    <row r="45" spans="1:38" s="118" customFormat="1" ht="13.35" customHeight="1">
      <c r="A45" s="4"/>
      <c r="B45"/>
      <c r="C45" s="2"/>
      <c r="D45" s="4"/>
      <c r="E45" s="4"/>
      <c r="F45" s="1271"/>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c r="A46" s="4"/>
      <c r="C46" s="2"/>
      <c r="D46" s="4"/>
      <c r="E46" s="4"/>
      <c r="F46" s="118" t="s">
        <v>688</v>
      </c>
      <c r="G46" s="3" t="s">
        <v>2040</v>
      </c>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476"/>
      <c r="AL46" s="476"/>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6" t="s">
        <v>2041</v>
      </c>
      <c r="G48" s="1266"/>
      <c r="H48" s="1266"/>
      <c r="I48" s="1266"/>
      <c r="J48" s="1266"/>
      <c r="K48" s="1266"/>
      <c r="L48" s="1266"/>
      <c r="M48" s="1266"/>
      <c r="N48" s="1266"/>
      <c r="O48" s="1266"/>
      <c r="P48" s="1266"/>
      <c r="Q48" s="1266"/>
      <c r="R48" s="1266"/>
      <c r="S48" s="1266"/>
      <c r="T48" s="1266"/>
      <c r="U48" s="1266"/>
      <c r="V48" s="1266"/>
      <c r="W48" s="1266"/>
      <c r="X48" s="1266"/>
      <c r="Y48" s="1266"/>
      <c r="Z48" s="1266"/>
      <c r="AA48" s="1266"/>
      <c r="AB48" s="1266"/>
      <c r="AC48" s="1266"/>
      <c r="AD48" s="1266"/>
      <c r="AE48" s="1266"/>
      <c r="AF48" s="1266"/>
      <c r="AG48" s="1266"/>
      <c r="AH48" s="1266"/>
      <c r="AI48" s="1266"/>
      <c r="AJ48" s="1266"/>
      <c r="AK48" s="1266"/>
    </row>
    <row r="49" spans="1:38">
      <c r="A49" s="4"/>
      <c r="C49" s="2"/>
      <c r="D49" s="4"/>
      <c r="E49" s="4"/>
      <c r="F49" s="1266"/>
      <c r="G49" s="1266"/>
      <c r="H49" s="1266"/>
      <c r="I49" s="1266"/>
      <c r="J49" s="1266"/>
      <c r="K49" s="1266"/>
      <c r="L49" s="1266"/>
      <c r="M49" s="1266"/>
      <c r="N49" s="1266"/>
      <c r="O49" s="1266"/>
      <c r="P49" s="1266"/>
      <c r="Q49" s="1266"/>
      <c r="R49" s="1266"/>
      <c r="S49" s="1266"/>
      <c r="T49" s="1266"/>
      <c r="U49" s="1266"/>
      <c r="V49" s="1266"/>
      <c r="W49" s="1266"/>
      <c r="X49" s="1266"/>
      <c r="Y49" s="1266"/>
      <c r="Z49" s="1266"/>
      <c r="AA49" s="1266"/>
      <c r="AB49" s="1266"/>
      <c r="AC49" s="1266"/>
      <c r="AD49" s="1266"/>
      <c r="AE49" s="1266"/>
      <c r="AF49" s="1266"/>
      <c r="AG49" s="1266"/>
      <c r="AH49" s="1266"/>
      <c r="AI49" s="1266"/>
      <c r="AJ49" s="1266"/>
      <c r="AK49" s="1266"/>
    </row>
    <row r="50" spans="1:38">
      <c r="A50" s="4"/>
      <c r="C50" s="2"/>
      <c r="D50" s="4"/>
      <c r="F50" s="1266"/>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688</v>
      </c>
      <c r="G54" s="1269" t="s">
        <v>1192</v>
      </c>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c r="AI54" s="1269"/>
      <c r="AJ54" s="1269"/>
      <c r="AK54" s="1269"/>
      <c r="AL54" s="204"/>
    </row>
    <row r="55" spans="1:38" ht="13.35" customHeight="1">
      <c r="A55" s="204"/>
      <c r="B55" s="204"/>
      <c r="C55" s="205"/>
      <c r="D55" s="205"/>
      <c r="E55" s="204"/>
      <c r="F55" s="206"/>
      <c r="G55" s="477" t="s">
        <v>1194</v>
      </c>
      <c r="H55" s="452"/>
      <c r="I55" s="452"/>
      <c r="J55" s="452"/>
      <c r="K55" s="452"/>
      <c r="L55" s="452"/>
      <c r="M55" s="452"/>
      <c r="N55" s="452"/>
      <c r="O55" s="452"/>
      <c r="P55" s="452"/>
      <c r="Q55" s="452"/>
      <c r="R55" s="452"/>
      <c r="S55" s="452"/>
      <c r="T55" s="452"/>
      <c r="U55" s="452"/>
      <c r="V55" s="452"/>
      <c r="W55" s="452"/>
      <c r="X55" s="452"/>
      <c r="Y55" s="452"/>
      <c r="Z55" s="452"/>
      <c r="AA55" s="452"/>
      <c r="AB55" s="452"/>
      <c r="AC55" s="452"/>
      <c r="AD55" s="452"/>
      <c r="AE55" s="452"/>
      <c r="AF55" s="452"/>
      <c r="AG55" s="452"/>
      <c r="AH55" s="452"/>
      <c r="AI55" s="452"/>
      <c r="AJ55" s="452"/>
      <c r="AK55" s="452"/>
      <c r="AL55" s="204"/>
    </row>
    <row r="56" spans="1:38">
      <c r="A56" s="204"/>
      <c r="B56" s="204"/>
      <c r="C56" s="205"/>
      <c r="D56" s="205"/>
      <c r="E56" s="204"/>
      <c r="F56" s="206"/>
      <c r="G56" s="1269" t="s">
        <v>576</v>
      </c>
      <c r="H56" s="1269"/>
      <c r="I56" s="1269"/>
      <c r="J56" s="451"/>
      <c r="K56" s="451"/>
      <c r="L56" s="451"/>
      <c r="M56" s="451"/>
      <c r="N56" s="451"/>
      <c r="O56" s="451"/>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204"/>
    </row>
    <row r="57" spans="1:38" ht="13.35" customHeight="1">
      <c r="A57" s="204"/>
      <c r="B57" s="205"/>
      <c r="C57" s="205"/>
      <c r="D57" s="205"/>
      <c r="E57" s="204"/>
      <c r="F57" s="206" t="s">
        <v>510</v>
      </c>
      <c r="G57" s="1269" t="s">
        <v>2042</v>
      </c>
      <c r="H57" s="1269"/>
      <c r="I57" s="1269"/>
      <c r="J57" s="1269"/>
      <c r="K57" s="1269"/>
      <c r="L57" s="1269"/>
      <c r="M57" s="1269"/>
      <c r="N57" s="1269"/>
      <c r="O57" s="1269"/>
      <c r="P57" s="1269"/>
      <c r="Q57" s="1269"/>
      <c r="R57" s="1269"/>
      <c r="S57" s="1269"/>
      <c r="T57" s="1269"/>
      <c r="U57" s="1269"/>
      <c r="V57" s="1269"/>
      <c r="W57" s="1269"/>
      <c r="X57" s="1269"/>
      <c r="Y57" s="1269"/>
      <c r="Z57" s="1269"/>
      <c r="AA57" s="1269"/>
      <c r="AB57" s="1269"/>
      <c r="AC57" s="1269"/>
      <c r="AD57" s="1269"/>
      <c r="AE57" s="1269"/>
      <c r="AF57" s="1269"/>
      <c r="AG57" s="1269"/>
      <c r="AH57" s="1269"/>
      <c r="AI57" s="1269"/>
      <c r="AJ57" s="1269"/>
      <c r="AK57" s="1269"/>
      <c r="AL57" s="1269"/>
    </row>
    <row r="58" spans="1:38">
      <c r="A58" s="204"/>
      <c r="B58" s="204"/>
      <c r="C58" s="205"/>
      <c r="D58" s="205"/>
      <c r="E58" s="204"/>
      <c r="F58" s="206"/>
      <c r="G58" s="1269"/>
      <c r="H58" s="1269"/>
      <c r="I58" s="1269"/>
      <c r="J58" s="1269"/>
      <c r="K58" s="1269"/>
      <c r="L58" s="1269"/>
      <c r="M58" s="1269"/>
      <c r="N58" s="1269"/>
      <c r="O58" s="1269"/>
      <c r="P58" s="1269"/>
      <c r="Q58" s="1269"/>
      <c r="R58" s="1269"/>
      <c r="S58" s="1269"/>
      <c r="T58" s="1269"/>
      <c r="U58" s="1269"/>
      <c r="V58" s="1269"/>
      <c r="W58" s="1269"/>
      <c r="X58" s="1269"/>
      <c r="Y58" s="1269"/>
      <c r="Z58" s="1269"/>
      <c r="AA58" s="1269"/>
      <c r="AB58" s="1269"/>
      <c r="AC58" s="1269"/>
      <c r="AD58" s="1269"/>
      <c r="AE58" s="1269"/>
      <c r="AF58" s="1269"/>
      <c r="AG58" s="1269"/>
      <c r="AH58" s="1269"/>
      <c r="AI58" s="1269"/>
      <c r="AJ58" s="1269"/>
      <c r="AK58" s="1269"/>
      <c r="AL58" s="1269"/>
    </row>
    <row r="59" spans="1:38">
      <c r="A59" s="204"/>
      <c r="B59" s="204"/>
      <c r="C59" s="205"/>
      <c r="D59" s="205"/>
      <c r="E59" s="204"/>
      <c r="F59" s="206"/>
      <c r="G59" s="478" t="s">
        <v>1280</v>
      </c>
      <c r="H59" s="451"/>
      <c r="I59" s="451"/>
      <c r="J59" s="451"/>
      <c r="K59" s="451"/>
      <c r="L59" s="451"/>
      <c r="M59" s="451"/>
      <c r="N59" s="451"/>
      <c r="O59" s="451"/>
      <c r="P59" s="451"/>
      <c r="Q59" s="451"/>
      <c r="R59" s="451"/>
      <c r="S59" s="451"/>
      <c r="T59" s="451"/>
      <c r="U59" s="451"/>
      <c r="V59" s="451"/>
      <c r="W59" s="451"/>
      <c r="X59" s="451"/>
      <c r="Y59" s="451"/>
      <c r="Z59" s="451"/>
      <c r="AA59" s="451"/>
      <c r="AB59" s="451"/>
      <c r="AC59" s="451"/>
      <c r="AD59" s="451"/>
      <c r="AE59" s="451"/>
      <c r="AF59" s="451"/>
      <c r="AG59" s="451"/>
      <c r="AH59" s="451"/>
      <c r="AI59" s="451"/>
      <c r="AJ59" s="451"/>
      <c r="AK59" s="451"/>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6" t="s">
        <v>1167</v>
      </c>
      <c r="H64" s="1266"/>
      <c r="I64" s="1266"/>
      <c r="J64" s="1266"/>
      <c r="K64" s="1266"/>
      <c r="L64" s="1266"/>
      <c r="M64" s="1266"/>
      <c r="N64" s="1266"/>
      <c r="O64" s="1266"/>
      <c r="P64" s="1266"/>
      <c r="Q64" s="1266"/>
      <c r="R64" s="1266"/>
      <c r="S64" s="1266"/>
      <c r="T64" s="1266"/>
      <c r="U64" s="1266"/>
      <c r="V64" s="1266"/>
      <c r="W64" s="1266"/>
      <c r="X64" s="1266"/>
      <c r="Y64" s="1266"/>
      <c r="Z64" s="1266"/>
      <c r="AA64" s="1266"/>
      <c r="AB64" s="1266"/>
      <c r="AC64" s="1266"/>
      <c r="AD64" s="1266"/>
      <c r="AE64" s="1266"/>
      <c r="AF64" s="1266"/>
      <c r="AG64" s="1266"/>
      <c r="AH64" s="1266"/>
      <c r="AI64" s="1266"/>
      <c r="AJ64" s="1266"/>
      <c r="AK64" s="1266"/>
    </row>
    <row r="65" spans="1:37">
      <c r="A65" s="4"/>
      <c r="C65" s="2"/>
      <c r="D65" s="4"/>
      <c r="E65" s="4"/>
      <c r="G65" s="1266"/>
      <c r="H65" s="1266"/>
      <c r="I65" s="1266"/>
      <c r="J65" s="1266"/>
      <c r="K65" s="1266"/>
      <c r="L65" s="1266"/>
      <c r="M65" s="1266"/>
      <c r="N65" s="1266"/>
      <c r="O65" s="1266"/>
      <c r="P65" s="1266"/>
      <c r="Q65" s="1266"/>
      <c r="R65" s="1266"/>
      <c r="S65" s="1266"/>
      <c r="T65" s="1266"/>
      <c r="U65" s="1266"/>
      <c r="V65" s="1266"/>
      <c r="W65" s="1266"/>
      <c r="X65" s="1266"/>
      <c r="Y65" s="1266"/>
      <c r="Z65" s="1266"/>
      <c r="AA65" s="1266"/>
      <c r="AB65" s="1266"/>
      <c r="AC65" s="1266"/>
      <c r="AD65" s="1266"/>
      <c r="AE65" s="1266"/>
      <c r="AF65" s="1266"/>
      <c r="AG65" s="1266"/>
      <c r="AH65" s="1266"/>
      <c r="AI65" s="1266"/>
      <c r="AJ65" s="1266"/>
      <c r="AK65" s="1266"/>
    </row>
    <row r="66" spans="1:37">
      <c r="A66" s="4"/>
      <c r="C66" s="2"/>
      <c r="D66" s="4"/>
      <c r="E66" s="4"/>
      <c r="G66" s="1266"/>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ht="13.35" customHeight="1">
      <c r="A67" s="4"/>
      <c r="C67" s="2"/>
      <c r="D67" s="4"/>
      <c r="E67" s="4"/>
      <c r="F67" t="s">
        <v>510</v>
      </c>
      <c r="G67" s="1266" t="s">
        <v>1168</v>
      </c>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F68" s="27"/>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c r="A69" s="4"/>
      <c r="C69" s="2"/>
      <c r="D69" s="4"/>
      <c r="E69" s="4" t="s">
        <v>348</v>
      </c>
      <c r="F69" s="4" t="s">
        <v>421</v>
      </c>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454"/>
      <c r="AI69" s="454"/>
      <c r="AJ69" s="454"/>
      <c r="AK69" s="454"/>
    </row>
    <row r="70" spans="1:37">
      <c r="A70" s="4"/>
      <c r="C70" s="2"/>
      <c r="D70" s="4"/>
      <c r="E70" s="4"/>
      <c r="F70" s="8" t="s">
        <v>688</v>
      </c>
      <c r="G70" s="1266" t="s">
        <v>1169</v>
      </c>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c r="F71" s="8"/>
      <c r="G71" s="1266"/>
      <c r="H71" s="1266"/>
      <c r="I71" s="1266"/>
      <c r="J71" s="1266"/>
      <c r="K71" s="1266"/>
      <c r="L71" s="1266"/>
      <c r="M71" s="1266"/>
      <c r="N71" s="1266"/>
      <c r="O71" s="1266"/>
      <c r="P71" s="1266"/>
      <c r="Q71" s="1266"/>
      <c r="R71" s="1266"/>
      <c r="S71" s="1266"/>
      <c r="T71" s="1266"/>
      <c r="U71" s="1266"/>
      <c r="V71" s="1266"/>
      <c r="W71" s="1266"/>
      <c r="X71" s="1266"/>
      <c r="Y71" s="1266"/>
      <c r="Z71" s="1266"/>
      <c r="AA71" s="1266"/>
      <c r="AB71" s="1266"/>
      <c r="AC71" s="1266"/>
      <c r="AD71" s="1266"/>
      <c r="AE71" s="1266"/>
      <c r="AF71" s="1266"/>
      <c r="AG71" s="1266"/>
      <c r="AH71" s="1266"/>
      <c r="AI71" s="1266"/>
      <c r="AJ71" s="1266"/>
      <c r="AK71" s="1266"/>
    </row>
    <row r="72" spans="1:37">
      <c r="A72" s="4"/>
      <c r="C72" s="2"/>
      <c r="D72" s="4"/>
      <c r="E72" s="4"/>
      <c r="F72" s="8" t="s">
        <v>510</v>
      </c>
      <c r="G72" s="1266" t="s">
        <v>1170</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6" t="s">
        <v>1171</v>
      </c>
      <c r="H80" s="1266"/>
      <c r="I80" s="1266"/>
      <c r="J80" s="1266"/>
      <c r="K80" s="1266"/>
      <c r="L80" s="1266"/>
      <c r="M80" s="1266"/>
      <c r="N80" s="1266"/>
      <c r="O80" s="1266"/>
      <c r="P80" s="1266"/>
      <c r="Q80" s="1266"/>
      <c r="R80" s="1266"/>
      <c r="S80" s="1266"/>
      <c r="T80" s="1266"/>
      <c r="U80" s="1266"/>
      <c r="V80" s="1266"/>
      <c r="W80" s="1266"/>
      <c r="X80" s="1266"/>
      <c r="Y80" s="1266"/>
      <c r="Z80" s="1266"/>
      <c r="AA80" s="1266"/>
      <c r="AB80" s="1266"/>
      <c r="AC80" s="1266"/>
      <c r="AD80" s="1266"/>
      <c r="AE80" s="1266"/>
      <c r="AF80" s="1266"/>
      <c r="AG80" s="1266"/>
      <c r="AH80" s="1266"/>
      <c r="AI80" s="1266"/>
      <c r="AJ80" s="1266"/>
      <c r="AK80" s="1266"/>
    </row>
    <row r="81" spans="1:37">
      <c r="A81" s="4"/>
      <c r="C81" s="2"/>
      <c r="D81" s="4"/>
      <c r="E81" s="4"/>
      <c r="F81" s="4"/>
      <c r="G81" s="1266"/>
      <c r="H81" s="1266"/>
      <c r="I81" s="1266"/>
      <c r="J81" s="1266"/>
      <c r="K81" s="1266"/>
      <c r="L81" s="1266"/>
      <c r="M81" s="1266"/>
      <c r="N81" s="1266"/>
      <c r="O81" s="1266"/>
      <c r="P81" s="1266"/>
      <c r="Q81" s="1266"/>
      <c r="R81" s="1266"/>
      <c r="S81" s="1266"/>
      <c r="T81" s="1266"/>
      <c r="U81" s="1266"/>
      <c r="V81" s="1266"/>
      <c r="W81" s="1266"/>
      <c r="X81" s="1266"/>
      <c r="Y81" s="1266"/>
      <c r="Z81" s="1266"/>
      <c r="AA81" s="1266"/>
      <c r="AB81" s="1266"/>
      <c r="AC81" s="1266"/>
      <c r="AD81" s="1266"/>
      <c r="AE81" s="1266"/>
      <c r="AF81" s="1266"/>
      <c r="AG81" s="1266"/>
      <c r="AH81" s="1266"/>
      <c r="AI81" s="1266"/>
      <c r="AJ81" s="1266"/>
      <c r="AK81" s="1266"/>
    </row>
    <row r="82" spans="1:37">
      <c r="A82" s="4"/>
      <c r="C82" s="2"/>
      <c r="D82" s="4"/>
      <c r="E82" s="4"/>
      <c r="F82" s="4"/>
      <c r="G82" s="1266"/>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6" t="s">
        <v>1172</v>
      </c>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c r="F85" s="4"/>
      <c r="G85" s="1266"/>
      <c r="H85" s="1266"/>
      <c r="I85" s="1266"/>
      <c r="J85" s="1266"/>
      <c r="K85" s="1266"/>
      <c r="L85" s="1266"/>
      <c r="M85" s="1266"/>
      <c r="N85" s="1266"/>
      <c r="O85" s="1266"/>
      <c r="P85" s="1266"/>
      <c r="Q85" s="1266"/>
      <c r="R85" s="1266"/>
      <c r="S85" s="1266"/>
      <c r="T85" s="1266"/>
      <c r="U85" s="1266"/>
      <c r="V85" s="1266"/>
      <c r="W85" s="1266"/>
      <c r="X85" s="1266"/>
      <c r="Y85" s="1266"/>
      <c r="Z85" s="1266"/>
      <c r="AA85" s="1266"/>
      <c r="AB85" s="1266"/>
      <c r="AC85" s="1266"/>
      <c r="AD85" s="1266"/>
      <c r="AE85" s="1266"/>
      <c r="AF85" s="1266"/>
      <c r="AG85" s="1266"/>
      <c r="AH85" s="1266"/>
      <c r="AI85" s="1266"/>
      <c r="AJ85" s="1266"/>
      <c r="AK85" s="1266"/>
    </row>
    <row r="86" spans="1:37">
      <c r="A86" s="4"/>
      <c r="C86" s="2"/>
      <c r="D86" s="4"/>
      <c r="E86" s="4"/>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6" t="s">
        <v>1173</v>
      </c>
      <c r="H88" s="1276"/>
      <c r="I88" s="1276"/>
      <c r="J88" s="1276"/>
      <c r="K88" s="1276"/>
      <c r="L88" s="1276"/>
      <c r="M88" s="1276"/>
      <c r="N88" s="1276"/>
      <c r="O88" s="1276"/>
      <c r="P88" s="1276"/>
      <c r="Q88" s="1276"/>
      <c r="R88" s="1276"/>
      <c r="S88" s="1276"/>
      <c r="T88" s="1276"/>
      <c r="U88" s="1276"/>
      <c r="V88" s="1276"/>
      <c r="W88" s="1276"/>
      <c r="X88" s="1276"/>
      <c r="Y88" s="1276"/>
      <c r="Z88" s="1276"/>
      <c r="AA88" s="1276"/>
      <c r="AB88" s="1276"/>
      <c r="AC88" s="1276"/>
      <c r="AD88" s="1276"/>
      <c r="AE88" s="1276"/>
      <c r="AF88" s="1276"/>
      <c r="AG88" s="1276"/>
      <c r="AH88" s="1276"/>
      <c r="AI88" s="1276"/>
      <c r="AJ88" s="1276"/>
      <c r="AK88" s="1276"/>
    </row>
    <row r="89" spans="1:37">
      <c r="A89" s="4"/>
      <c r="C89" s="2"/>
      <c r="D89" s="4"/>
      <c r="E89" s="4"/>
      <c r="G89" s="1276"/>
      <c r="H89" s="1276"/>
      <c r="I89" s="1276"/>
      <c r="J89" s="1276"/>
      <c r="K89" s="1276"/>
      <c r="L89" s="1276"/>
      <c r="M89" s="1276"/>
      <c r="N89" s="1276"/>
      <c r="O89" s="1276"/>
      <c r="P89" s="1276"/>
      <c r="Q89" s="1276"/>
      <c r="R89" s="1276"/>
      <c r="S89" s="1276"/>
      <c r="T89" s="1276"/>
      <c r="U89" s="1276"/>
      <c r="V89" s="1276"/>
      <c r="W89" s="1276"/>
      <c r="X89" s="1276"/>
      <c r="Y89" s="1276"/>
      <c r="Z89" s="1276"/>
      <c r="AA89" s="1276"/>
      <c r="AB89" s="1276"/>
      <c r="AC89" s="1276"/>
      <c r="AD89" s="1276"/>
      <c r="AE89" s="1276"/>
      <c r="AF89" s="1276"/>
      <c r="AG89" s="1276"/>
      <c r="AH89" s="1276"/>
      <c r="AI89" s="1276"/>
      <c r="AJ89" s="1276"/>
      <c r="AK89" s="1276"/>
    </row>
    <row r="90" spans="1:37">
      <c r="A90" s="4"/>
      <c r="C90" s="2"/>
      <c r="D90" s="4"/>
      <c r="E90" s="4"/>
      <c r="G90" s="1276"/>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6" t="s">
        <v>1174</v>
      </c>
      <c r="H92" s="1266"/>
      <c r="I92" s="1266"/>
      <c r="J92" s="1266"/>
      <c r="K92" s="1266"/>
      <c r="L92" s="1266"/>
      <c r="M92" s="1266"/>
      <c r="N92" s="1266"/>
      <c r="O92" s="1266"/>
      <c r="P92" s="1266"/>
      <c r="Q92" s="1266"/>
      <c r="R92" s="1266"/>
      <c r="S92" s="1266"/>
      <c r="T92" s="1266"/>
      <c r="U92" s="1266"/>
      <c r="V92" s="1266"/>
      <c r="W92" s="1266"/>
      <c r="X92" s="1266"/>
      <c r="Y92" s="1266"/>
      <c r="Z92" s="1266"/>
      <c r="AA92" s="1266"/>
      <c r="AB92" s="1266"/>
      <c r="AC92" s="1266"/>
      <c r="AD92" s="1266"/>
      <c r="AE92" s="1266"/>
      <c r="AF92" s="1266"/>
      <c r="AG92" s="1266"/>
      <c r="AH92" s="1266"/>
      <c r="AI92" s="1266"/>
      <c r="AJ92" s="1266"/>
      <c r="AK92" s="1266"/>
    </row>
    <row r="93" spans="1:37">
      <c r="A93" s="4"/>
      <c r="C93" s="2"/>
      <c r="D93" s="4"/>
      <c r="E93" s="4"/>
      <c r="G93" s="1266"/>
      <c r="H93" s="1266"/>
      <c r="I93" s="1266"/>
      <c r="J93" s="1266"/>
      <c r="K93" s="1266"/>
      <c r="L93" s="1266"/>
      <c r="M93" s="1266"/>
      <c r="N93" s="1266"/>
      <c r="O93" s="1266"/>
      <c r="P93" s="1266"/>
      <c r="Q93" s="1266"/>
      <c r="R93" s="1266"/>
      <c r="S93" s="1266"/>
      <c r="T93" s="1266"/>
      <c r="U93" s="1266"/>
      <c r="V93" s="1266"/>
      <c r="W93" s="1266"/>
      <c r="X93" s="1266"/>
      <c r="Y93" s="1266"/>
      <c r="Z93" s="1266"/>
      <c r="AA93" s="1266"/>
      <c r="AB93" s="1266"/>
      <c r="AC93" s="1266"/>
      <c r="AD93" s="1266"/>
      <c r="AE93" s="1266"/>
      <c r="AF93" s="1266"/>
      <c r="AG93" s="1266"/>
      <c r="AH93" s="1266"/>
      <c r="AI93" s="1266"/>
      <c r="AJ93" s="1266"/>
      <c r="AK93" s="1266"/>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6" t="s">
        <v>1175</v>
      </c>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c r="G96" s="1266"/>
      <c r="H96" s="1266"/>
      <c r="I96" s="1266"/>
      <c r="J96" s="1266"/>
      <c r="K96" s="1266"/>
      <c r="L96" s="1266"/>
      <c r="M96" s="1266"/>
      <c r="N96" s="1266"/>
      <c r="O96" s="1266"/>
      <c r="P96" s="1266"/>
      <c r="Q96" s="1266"/>
      <c r="R96" s="1266"/>
      <c r="S96" s="1266"/>
      <c r="T96" s="1266"/>
      <c r="U96" s="1266"/>
      <c r="V96" s="1266"/>
      <c r="W96" s="1266"/>
      <c r="X96" s="1266"/>
      <c r="Y96" s="1266"/>
      <c r="Z96" s="1266"/>
      <c r="AA96" s="1266"/>
      <c r="AB96" s="1266"/>
      <c r="AC96" s="1266"/>
      <c r="AD96" s="1266"/>
      <c r="AE96" s="1266"/>
      <c r="AF96" s="1266"/>
      <c r="AG96" s="1266"/>
      <c r="AH96" s="1266"/>
      <c r="AI96" s="1266"/>
      <c r="AJ96" s="1266"/>
      <c r="AK96" s="1266"/>
    </row>
    <row r="97" spans="1:38">
      <c r="A97" s="4"/>
      <c r="C97" s="2"/>
      <c r="D97" s="4"/>
      <c r="E97" s="4"/>
      <c r="G97" s="1266"/>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D98" s="99"/>
      <c r="E98" s="1277" t="s">
        <v>1176</v>
      </c>
      <c r="F98" s="1277"/>
      <c r="G98" s="1277"/>
      <c r="H98" s="1277"/>
      <c r="I98" s="1277"/>
      <c r="J98" s="1277"/>
      <c r="K98" s="1277"/>
      <c r="L98" s="1277"/>
      <c r="M98" s="1277"/>
      <c r="N98" s="1277"/>
      <c r="O98" s="1277"/>
      <c r="P98" s="1277"/>
      <c r="Q98" s="1277"/>
      <c r="R98" s="1277"/>
      <c r="S98" s="1277"/>
      <c r="T98" s="1277"/>
      <c r="U98" s="1277"/>
      <c r="V98" s="1277"/>
      <c r="W98" s="1277"/>
      <c r="X98" s="1277"/>
      <c r="Y98" s="1277"/>
      <c r="Z98" s="1277"/>
      <c r="AA98" s="1277"/>
      <c r="AB98" s="1277"/>
      <c r="AC98" s="1277"/>
      <c r="AD98" s="1277"/>
      <c r="AE98" s="1277"/>
      <c r="AF98" s="1277"/>
      <c r="AG98" s="1277"/>
      <c r="AH98" s="1277"/>
      <c r="AI98" s="1277"/>
      <c r="AJ98" s="1277"/>
      <c r="AK98" s="1277"/>
    </row>
    <row r="99" spans="1:38">
      <c r="A99" s="4"/>
      <c r="D99" s="99"/>
      <c r="E99" s="1277"/>
      <c r="F99" s="1277"/>
      <c r="G99" s="1277"/>
      <c r="H99" s="1277"/>
      <c r="I99" s="1277"/>
      <c r="J99" s="1277"/>
      <c r="K99" s="1277"/>
      <c r="L99" s="1277"/>
      <c r="M99" s="1277"/>
      <c r="N99" s="1277"/>
      <c r="O99" s="1277"/>
      <c r="P99" s="1277"/>
      <c r="Q99" s="1277"/>
      <c r="R99" s="1277"/>
      <c r="S99" s="1277"/>
      <c r="T99" s="1277"/>
      <c r="U99" s="1277"/>
      <c r="V99" s="1277"/>
      <c r="W99" s="1277"/>
      <c r="X99" s="1277"/>
      <c r="Y99" s="1277"/>
      <c r="Z99" s="1277"/>
      <c r="AA99" s="1277"/>
      <c r="AB99" s="1277"/>
      <c r="AC99" s="1277"/>
      <c r="AD99" s="1277"/>
      <c r="AE99" s="1277"/>
      <c r="AF99" s="1277"/>
      <c r="AG99" s="1277"/>
      <c r="AH99" s="1277"/>
      <c r="AI99" s="1277"/>
      <c r="AJ99" s="1277"/>
      <c r="AK99" s="1277"/>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4"/>
      <c r="G132" s="454"/>
      <c r="H132" s="454"/>
      <c r="I132" s="454"/>
      <c r="J132" s="454"/>
      <c r="K132" s="454"/>
      <c r="L132" s="454"/>
      <c r="M132" s="454"/>
      <c r="N132" s="454"/>
      <c r="O132" s="454"/>
      <c r="P132" s="454"/>
      <c r="Q132" s="454"/>
      <c r="R132" s="454"/>
      <c r="S132" s="454"/>
      <c r="T132" s="454"/>
      <c r="U132" s="454"/>
      <c r="V132" s="454"/>
      <c r="W132" s="454"/>
      <c r="X132" s="454"/>
      <c r="Y132" s="454"/>
      <c r="Z132" s="454"/>
      <c r="AA132" s="454"/>
      <c r="AB132" s="454"/>
      <c r="AC132" s="454"/>
      <c r="AD132" s="454"/>
      <c r="AE132" s="454"/>
      <c r="AF132" s="454"/>
      <c r="AG132" s="454"/>
      <c r="AH132" s="454"/>
      <c r="AI132" s="454"/>
      <c r="AJ132" s="454"/>
      <c r="AK132" s="454"/>
    </row>
    <row r="133" spans="4:37">
      <c r="E133" s="119" t="s">
        <v>1257</v>
      </c>
      <c r="F133" s="454"/>
      <c r="G133" s="454"/>
      <c r="H133" s="454"/>
      <c r="I133" s="454"/>
      <c r="J133" s="454"/>
      <c r="K133" s="454"/>
      <c r="L133" s="454"/>
      <c r="M133" s="454"/>
      <c r="N133" s="454"/>
      <c r="O133" s="454"/>
      <c r="P133" s="454"/>
      <c r="Q133" s="454"/>
      <c r="R133" s="454"/>
      <c r="S133" s="454"/>
      <c r="T133" s="454"/>
      <c r="U133" s="454"/>
      <c r="V133" s="454"/>
      <c r="W133" s="454"/>
      <c r="X133" s="454"/>
      <c r="Y133" s="454"/>
      <c r="Z133" s="454"/>
      <c r="AA133" s="454"/>
      <c r="AB133" s="454"/>
      <c r="AC133" s="454"/>
      <c r="AD133" s="454"/>
      <c r="AE133" s="454"/>
      <c r="AF133" s="454"/>
      <c r="AG133" s="454"/>
      <c r="AH133" s="454"/>
      <c r="AI133" s="454"/>
      <c r="AJ133" s="454"/>
      <c r="AK133" s="454"/>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6" t="s">
        <v>1177</v>
      </c>
      <c r="H205" s="1266"/>
      <c r="I205" s="1266"/>
      <c r="J205" s="1266"/>
      <c r="K205" s="1266"/>
      <c r="L205" s="1266"/>
      <c r="M205" s="1266"/>
      <c r="N205" s="1266"/>
      <c r="O205" s="1266"/>
      <c r="P205" s="1266"/>
      <c r="Q205" s="1266"/>
      <c r="R205" s="1266"/>
      <c r="S205" s="1266"/>
      <c r="T205" s="1266"/>
      <c r="U205" s="1266"/>
      <c r="V205" s="1266"/>
      <c r="W205" s="1266"/>
      <c r="X205" s="1266"/>
      <c r="Y205" s="1266"/>
      <c r="Z205" s="1266"/>
      <c r="AA205" s="1266"/>
      <c r="AB205" s="1266"/>
      <c r="AC205" s="1266"/>
      <c r="AD205" s="1266"/>
      <c r="AE205" s="1266"/>
      <c r="AF205" s="1266"/>
      <c r="AG205" s="1266"/>
      <c r="AH205" s="1266"/>
      <c r="AI205" s="1266"/>
      <c r="AJ205" s="1266"/>
      <c r="AK205" s="1266"/>
    </row>
    <row r="206" spans="2:37">
      <c r="B206" s="4"/>
      <c r="C206" s="4"/>
      <c r="D206" s="2"/>
      <c r="G206" s="1266"/>
      <c r="H206" s="1266"/>
      <c r="I206" s="1266"/>
      <c r="J206" s="1266"/>
      <c r="K206" s="1266"/>
      <c r="L206" s="1266"/>
      <c r="M206" s="1266"/>
      <c r="N206" s="1266"/>
      <c r="O206" s="1266"/>
      <c r="P206" s="1266"/>
      <c r="Q206" s="1266"/>
      <c r="R206" s="1266"/>
      <c r="S206" s="1266"/>
      <c r="T206" s="1266"/>
      <c r="U206" s="1266"/>
      <c r="V206" s="1266"/>
      <c r="W206" s="1266"/>
      <c r="X206" s="1266"/>
      <c r="Y206" s="1266"/>
      <c r="Z206" s="1266"/>
      <c r="AA206" s="1266"/>
      <c r="AB206" s="1266"/>
      <c r="AC206" s="1266"/>
      <c r="AD206" s="1266"/>
      <c r="AE206" s="1266"/>
      <c r="AF206" s="1266"/>
      <c r="AG206" s="1266"/>
      <c r="AH206" s="1266"/>
      <c r="AI206" s="1266"/>
      <c r="AJ206" s="1266"/>
      <c r="AK206" s="1266"/>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8"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6" t="s">
        <v>1156</v>
      </c>
      <c r="G336" s="1266"/>
      <c r="H336" s="1266"/>
      <c r="I336" s="1266"/>
      <c r="J336" s="1266"/>
      <c r="K336" s="1266"/>
      <c r="L336" s="1266"/>
      <c r="M336" s="1266"/>
      <c r="N336" s="1266"/>
      <c r="O336" s="1266"/>
      <c r="P336" s="1266"/>
      <c r="Q336" s="1266"/>
      <c r="R336" s="1266"/>
      <c r="S336" s="1266"/>
      <c r="T336" s="1266"/>
      <c r="U336" s="1266"/>
      <c r="V336" s="1266"/>
      <c r="W336" s="1266"/>
      <c r="X336" s="1266"/>
      <c r="Y336" s="1266"/>
      <c r="Z336" s="1266"/>
      <c r="AA336" s="1266"/>
      <c r="AB336" s="1266"/>
      <c r="AC336" s="1266"/>
      <c r="AD336" s="1266"/>
      <c r="AE336" s="1266"/>
      <c r="AF336" s="1266"/>
      <c r="AG336" s="1266"/>
      <c r="AH336" s="1266"/>
      <c r="AI336" s="1266"/>
      <c r="AJ336" s="1266"/>
      <c r="AK336" s="1266"/>
    </row>
    <row r="337" spans="2:37">
      <c r="B337" s="2"/>
      <c r="E337" s="4"/>
      <c r="F337" s="1266"/>
      <c r="G337" s="1266"/>
      <c r="H337" s="1266"/>
      <c r="I337" s="1266"/>
      <c r="J337" s="1266"/>
      <c r="K337" s="1266"/>
      <c r="L337" s="1266"/>
      <c r="M337" s="1266"/>
      <c r="N337" s="1266"/>
      <c r="O337" s="1266"/>
      <c r="P337" s="1266"/>
      <c r="Q337" s="1266"/>
      <c r="R337" s="1266"/>
      <c r="S337" s="1266"/>
      <c r="T337" s="1266"/>
      <c r="U337" s="1266"/>
      <c r="V337" s="1266"/>
      <c r="W337" s="1266"/>
      <c r="X337" s="1266"/>
      <c r="Y337" s="1266"/>
      <c r="Z337" s="1266"/>
      <c r="AA337" s="1266"/>
      <c r="AB337" s="1266"/>
      <c r="AC337" s="1266"/>
      <c r="AD337" s="1266"/>
      <c r="AE337" s="1266"/>
      <c r="AF337" s="1266"/>
      <c r="AG337" s="1266"/>
      <c r="AH337" s="1266"/>
      <c r="AI337" s="1266"/>
      <c r="AJ337" s="1266"/>
      <c r="AK337" s="1266"/>
    </row>
    <row r="338" spans="2:37">
      <c r="B338" s="2"/>
      <c r="E338" s="4"/>
      <c r="F338" s="1266"/>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35" customHeight="1">
      <c r="B341" s="2"/>
      <c r="E341" s="1269" t="s">
        <v>1236</v>
      </c>
      <c r="F341" s="1269"/>
      <c r="G341" s="1269"/>
      <c r="H341" s="1269"/>
      <c r="I341" s="1269"/>
      <c r="J341" s="1269"/>
      <c r="K341" s="1269"/>
      <c r="L341" s="1269"/>
      <c r="M341" s="1269"/>
      <c r="N341" s="1269"/>
      <c r="O341" s="1269"/>
      <c r="P341" s="1269"/>
      <c r="Q341" s="1269"/>
      <c r="R341" s="1269"/>
      <c r="S341" s="1269"/>
      <c r="T341" s="1269"/>
      <c r="U341" s="1269"/>
      <c r="V341" s="1269"/>
      <c r="W341" s="1269"/>
      <c r="X341" s="1269"/>
      <c r="Y341" s="1269"/>
      <c r="Z341" s="1269"/>
      <c r="AA341" s="1269"/>
      <c r="AB341" s="1269"/>
      <c r="AC341" s="1269"/>
      <c r="AD341" s="1269"/>
      <c r="AE341" s="1269"/>
      <c r="AF341" s="1269"/>
      <c r="AG341" s="1269"/>
      <c r="AH341" s="1269"/>
      <c r="AI341" s="1269"/>
      <c r="AJ341" s="1269"/>
      <c r="AK341" s="1269"/>
    </row>
    <row r="342" spans="2:37">
      <c r="B342" s="2"/>
      <c r="E342" s="1269"/>
      <c r="F342" s="1269"/>
      <c r="G342" s="1269"/>
      <c r="H342" s="1269"/>
      <c r="I342" s="1269"/>
      <c r="J342" s="1269"/>
      <c r="K342" s="1269"/>
      <c r="L342" s="1269"/>
      <c r="M342" s="1269"/>
      <c r="N342" s="1269"/>
      <c r="O342" s="1269"/>
      <c r="P342" s="1269"/>
      <c r="Q342" s="1269"/>
      <c r="R342" s="1269"/>
      <c r="S342" s="1269"/>
      <c r="T342" s="1269"/>
      <c r="U342" s="1269"/>
      <c r="V342" s="1269"/>
      <c r="W342" s="1269"/>
      <c r="X342" s="1269"/>
      <c r="Y342" s="1269"/>
      <c r="Z342" s="1269"/>
      <c r="AA342" s="1269"/>
      <c r="AB342" s="1269"/>
      <c r="AC342" s="1269"/>
      <c r="AD342" s="1269"/>
      <c r="AE342" s="1269"/>
      <c r="AF342" s="1269"/>
      <c r="AG342" s="1269"/>
      <c r="AH342" s="1269"/>
      <c r="AI342" s="1269"/>
      <c r="AJ342" s="1269"/>
      <c r="AK342" s="1269"/>
    </row>
    <row r="343" spans="2:37">
      <c r="B343" s="2"/>
      <c r="E343" s="1269"/>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3" t="s">
        <v>112</v>
      </c>
      <c r="F346" s="1266" t="s">
        <v>1238</v>
      </c>
      <c r="G346" s="1266"/>
      <c r="H346" s="1266"/>
      <c r="I346" s="1266"/>
      <c r="J346" s="1266"/>
      <c r="K346" s="1266"/>
      <c r="L346" s="1266"/>
      <c r="M346" s="1266"/>
      <c r="N346" s="1266"/>
      <c r="O346" s="1266"/>
      <c r="P346" s="1266"/>
      <c r="Q346" s="1266"/>
      <c r="R346" s="1266"/>
      <c r="S346" s="1266"/>
      <c r="T346" s="1266"/>
      <c r="U346" s="1266"/>
      <c r="V346" s="1266"/>
      <c r="W346" s="1266"/>
      <c r="X346" s="1266"/>
      <c r="Y346" s="1266"/>
      <c r="Z346" s="1266"/>
      <c r="AA346" s="1266"/>
      <c r="AB346" s="1266"/>
      <c r="AC346" s="1266"/>
      <c r="AD346" s="1266"/>
      <c r="AE346" s="1266"/>
      <c r="AF346" s="1266"/>
      <c r="AG346" s="1266"/>
      <c r="AH346" s="1266"/>
      <c r="AI346" s="1266"/>
      <c r="AJ346" s="1266"/>
      <c r="AK346" s="1266"/>
    </row>
    <row r="347" spans="2:37">
      <c r="B347" s="2"/>
      <c r="E347" s="3"/>
      <c r="F347" s="1266"/>
      <c r="G347" s="1266"/>
      <c r="H347" s="1266"/>
      <c r="I347" s="1266"/>
      <c r="J347" s="1266"/>
      <c r="K347" s="1266"/>
      <c r="L347" s="1266"/>
      <c r="M347" s="1266"/>
      <c r="N347" s="1266"/>
      <c r="O347" s="1266"/>
      <c r="P347" s="1266"/>
      <c r="Q347" s="1266"/>
      <c r="R347" s="1266"/>
      <c r="S347" s="1266"/>
      <c r="T347" s="1266"/>
      <c r="U347" s="1266"/>
      <c r="V347" s="1266"/>
      <c r="W347" s="1266"/>
      <c r="X347" s="1266"/>
      <c r="Y347" s="1266"/>
      <c r="Z347" s="1266"/>
      <c r="AA347" s="1266"/>
      <c r="AB347" s="1266"/>
      <c r="AC347" s="1266"/>
      <c r="AD347" s="1266"/>
      <c r="AE347" s="1266"/>
      <c r="AF347" s="1266"/>
      <c r="AG347" s="1266"/>
      <c r="AH347" s="1266"/>
      <c r="AI347" s="1266"/>
      <c r="AJ347" s="1266"/>
      <c r="AK347" s="1266"/>
    </row>
    <row r="348" spans="2:37">
      <c r="B348" s="2"/>
      <c r="E348" s="3"/>
      <c r="F348" s="1266"/>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t="s">
        <v>113</v>
      </c>
      <c r="F350" s="1266" t="s">
        <v>1237</v>
      </c>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F352" s="1266"/>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1"/>
      <c r="E355" s="2"/>
      <c r="M355" s="4"/>
      <c r="N355" s="4"/>
      <c r="O355" s="4"/>
      <c r="P355" s="4"/>
      <c r="Q355" s="4"/>
      <c r="R355" s="4"/>
      <c r="S355" s="4"/>
      <c r="T355" s="4"/>
    </row>
    <row r="356" spans="1:38" ht="13.35" customHeight="1">
      <c r="B356" s="2"/>
      <c r="C356" s="11" t="s">
        <v>1219</v>
      </c>
      <c r="D356" s="5"/>
      <c r="E356" s="5"/>
      <c r="F356" s="5"/>
      <c r="G356" s="5"/>
      <c r="H356" s="5"/>
      <c r="I356" s="451"/>
      <c r="J356" s="451"/>
      <c r="K356" s="451"/>
      <c r="L356" s="451"/>
      <c r="M356" s="451"/>
      <c r="N356" s="451"/>
      <c r="O356" s="451"/>
      <c r="P356" s="451"/>
      <c r="Q356" s="451"/>
      <c r="R356" s="451"/>
      <c r="S356" s="451"/>
      <c r="T356" s="451"/>
      <c r="U356" s="451"/>
      <c r="V356" s="451"/>
      <c r="W356" s="451"/>
      <c r="X356" s="451"/>
      <c r="Y356" s="451"/>
      <c r="Z356" s="451"/>
      <c r="AA356" s="451"/>
      <c r="AB356" s="451"/>
      <c r="AC356" s="451"/>
      <c r="AD356" s="451"/>
      <c r="AE356" s="451"/>
      <c r="AF356" s="451"/>
      <c r="AG356" s="451"/>
      <c r="AH356" s="451"/>
      <c r="AI356" s="451"/>
      <c r="AJ356" s="451"/>
      <c r="AK356" s="451"/>
    </row>
    <row r="357" spans="1:38" ht="13.35" customHeight="1">
      <c r="B357" s="2"/>
      <c r="C357" s="2"/>
      <c r="E357" s="452"/>
      <c r="F357" s="452"/>
      <c r="G357" s="452"/>
      <c r="H357" s="452"/>
      <c r="I357" s="452"/>
      <c r="J357" s="452"/>
      <c r="K357" s="452"/>
      <c r="L357" s="452"/>
      <c r="M357" s="452"/>
      <c r="N357" s="452"/>
      <c r="O357" s="452"/>
      <c r="P357" s="452"/>
      <c r="Q357" s="452"/>
      <c r="R357" s="452"/>
      <c r="S357" s="452"/>
      <c r="T357" s="452"/>
      <c r="U357" s="452"/>
      <c r="V357" s="452"/>
      <c r="W357" s="452"/>
      <c r="X357" s="452"/>
      <c r="Y357" s="452"/>
      <c r="Z357" s="452"/>
      <c r="AA357" s="452"/>
      <c r="AB357" s="452"/>
      <c r="AC357" s="452"/>
      <c r="AD357" s="452"/>
      <c r="AE357" s="452"/>
      <c r="AF357" s="452"/>
      <c r="AG357" s="452"/>
      <c r="AH357" s="452"/>
      <c r="AI357" s="452"/>
      <c r="AJ357" s="452"/>
      <c r="AK357" s="452"/>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70" t="s">
        <v>1227</v>
      </c>
      <c r="F365" s="1270"/>
      <c r="G365" s="1270"/>
      <c r="H365" s="1270"/>
      <c r="I365" s="1270"/>
      <c r="J365" s="1270"/>
      <c r="K365" s="1270"/>
      <c r="L365" s="1270"/>
      <c r="M365" s="1270"/>
      <c r="N365" s="1270"/>
      <c r="O365" s="1270"/>
      <c r="P365" s="1270"/>
      <c r="Q365" s="1270"/>
      <c r="R365" s="1270"/>
      <c r="S365" s="1270"/>
      <c r="T365" s="1270"/>
      <c r="U365" s="1270"/>
      <c r="V365" s="1270"/>
      <c r="W365" s="1270"/>
      <c r="X365" s="1270"/>
      <c r="Y365" s="1270"/>
      <c r="Z365" s="1270"/>
      <c r="AA365" s="1270"/>
      <c r="AB365" s="1270"/>
      <c r="AC365" s="1270"/>
      <c r="AD365" s="1270"/>
      <c r="AE365" s="1270"/>
      <c r="AF365" s="1270"/>
      <c r="AG365" s="1270"/>
      <c r="AH365" s="1270"/>
      <c r="AI365" s="1270"/>
      <c r="AJ365" s="1270"/>
      <c r="AK365" s="1270"/>
      <c r="AL365" s="1270"/>
    </row>
    <row r="366" spans="1:38">
      <c r="B366" s="2"/>
      <c r="E366" s="1270"/>
      <c r="F366" s="1270"/>
      <c r="G366" s="1270"/>
      <c r="H366" s="1270"/>
      <c r="I366" s="1270"/>
      <c r="J366" s="1270"/>
      <c r="K366" s="1270"/>
      <c r="L366" s="1270"/>
      <c r="M366" s="1270"/>
      <c r="N366" s="1270"/>
      <c r="O366" s="1270"/>
      <c r="P366" s="1270"/>
      <c r="Q366" s="1270"/>
      <c r="R366" s="1270"/>
      <c r="S366" s="1270"/>
      <c r="T366" s="1270"/>
      <c r="U366" s="1270"/>
      <c r="V366" s="1270"/>
      <c r="W366" s="1270"/>
      <c r="X366" s="1270"/>
      <c r="Y366" s="1270"/>
      <c r="Z366" s="1270"/>
      <c r="AA366" s="1270"/>
      <c r="AB366" s="1270"/>
      <c r="AC366" s="1270"/>
      <c r="AD366" s="1270"/>
      <c r="AE366" s="1270"/>
      <c r="AF366" s="1270"/>
      <c r="AG366" s="1270"/>
      <c r="AH366" s="1270"/>
      <c r="AI366" s="1270"/>
      <c r="AJ366" s="1270"/>
      <c r="AK366" s="1270"/>
      <c r="AL366" s="1270"/>
    </row>
    <row r="367" spans="1:38" s="1272" customFormat="1">
      <c r="A367"/>
      <c r="B367" s="2"/>
      <c r="C367"/>
      <c r="D367"/>
      <c r="E367" s="1271" t="s">
        <v>1259</v>
      </c>
    </row>
    <row r="368" spans="1:38" s="1272" customFormat="1">
      <c r="A368"/>
      <c r="B368" s="2"/>
      <c r="C368" s="2"/>
      <c r="D368"/>
    </row>
    <row r="369" spans="1:38">
      <c r="B369" s="2"/>
      <c r="E369" s="4"/>
      <c r="F369" s="454"/>
      <c r="G369" s="454"/>
      <c r="H369" s="454"/>
      <c r="I369" s="454"/>
      <c r="J369" s="454"/>
      <c r="K369" s="454"/>
      <c r="L369" s="454"/>
      <c r="M369" s="454"/>
      <c r="N369" s="454"/>
      <c r="O369" s="454"/>
      <c r="P369" s="454"/>
      <c r="Q369" s="454"/>
      <c r="R369" s="454"/>
      <c r="S369" s="454"/>
      <c r="T369" s="454"/>
      <c r="U369" s="454"/>
      <c r="V369" s="454"/>
      <c r="W369" s="454"/>
      <c r="X369" s="454"/>
      <c r="Y369" s="454"/>
      <c r="Z369" s="454"/>
      <c r="AA369" s="454"/>
      <c r="AB369" s="454"/>
      <c r="AC369" s="454"/>
      <c r="AD369" s="454"/>
      <c r="AE369" s="454"/>
      <c r="AF369" s="454"/>
      <c r="AG369" s="454"/>
      <c r="AH369" s="454"/>
      <c r="AI369" s="454"/>
      <c r="AJ369" s="454"/>
      <c r="AK369" s="454"/>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6" t="s">
        <v>1270</v>
      </c>
      <c r="G386" s="1266"/>
      <c r="H386" s="1266"/>
      <c r="I386" s="1266"/>
      <c r="J386" s="1266"/>
      <c r="K386" s="1266"/>
      <c r="L386" s="1266"/>
      <c r="M386" s="1266"/>
      <c r="N386" s="1266"/>
      <c r="O386" s="1266"/>
      <c r="P386" s="1266"/>
      <c r="Q386" s="1266"/>
      <c r="R386" s="1266"/>
      <c r="S386" s="1266"/>
      <c r="T386" s="1266"/>
      <c r="U386" s="1266"/>
      <c r="V386" s="1266"/>
      <c r="W386" s="1266"/>
      <c r="X386" s="1266"/>
      <c r="Y386" s="1266"/>
      <c r="Z386" s="1266"/>
      <c r="AA386" s="1266"/>
      <c r="AB386" s="1266"/>
      <c r="AC386" s="1266"/>
      <c r="AD386" s="1266"/>
      <c r="AE386" s="1266"/>
      <c r="AF386" s="1266"/>
      <c r="AG386" s="1266"/>
      <c r="AH386" s="1266"/>
      <c r="AI386" s="1266"/>
      <c r="AJ386" s="1266"/>
      <c r="AK386" s="1266"/>
    </row>
    <row r="387" spans="1:38">
      <c r="B387" s="2"/>
      <c r="E387" s="3"/>
      <c r="F387" s="1266"/>
      <c r="G387" s="1266"/>
      <c r="H387" s="1266"/>
      <c r="I387" s="1266"/>
      <c r="J387" s="1266"/>
      <c r="K387" s="1266"/>
      <c r="L387" s="1266"/>
      <c r="M387" s="1266"/>
      <c r="N387" s="1266"/>
      <c r="O387" s="1266"/>
      <c r="P387" s="1266"/>
      <c r="Q387" s="1266"/>
      <c r="R387" s="1266"/>
      <c r="S387" s="1266"/>
      <c r="T387" s="1266"/>
      <c r="U387" s="1266"/>
      <c r="V387" s="1266"/>
      <c r="W387" s="1266"/>
      <c r="X387" s="1266"/>
      <c r="Y387" s="1266"/>
      <c r="Z387" s="1266"/>
      <c r="AA387" s="1266"/>
      <c r="AB387" s="1266"/>
      <c r="AC387" s="1266"/>
      <c r="AD387" s="1266"/>
      <c r="AE387" s="1266"/>
      <c r="AF387" s="1266"/>
      <c r="AG387" s="1266"/>
      <c r="AH387" s="1266"/>
      <c r="AI387" s="1266"/>
      <c r="AJ387" s="1266"/>
      <c r="AK387" s="1266"/>
    </row>
    <row r="388" spans="1:38">
      <c r="B388" s="2"/>
      <c r="E388" s="3"/>
      <c r="F388" s="1266"/>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4"/>
      <c r="F389" s="440"/>
      <c r="G389" s="440"/>
      <c r="H389" s="440"/>
      <c r="I389" s="440"/>
      <c r="J389" s="440"/>
      <c r="K389" s="440"/>
      <c r="L389" s="440"/>
      <c r="M389" s="440"/>
      <c r="N389" s="440"/>
      <c r="O389" s="440"/>
      <c r="P389" s="440"/>
      <c r="Q389" s="440"/>
      <c r="R389" s="440"/>
      <c r="S389" s="440"/>
      <c r="T389" s="440"/>
      <c r="U389" s="440"/>
      <c r="V389" s="440"/>
      <c r="W389" s="440"/>
      <c r="X389" s="440"/>
      <c r="Y389" s="440"/>
      <c r="Z389" s="440"/>
      <c r="AA389" s="440"/>
      <c r="AB389" s="440"/>
      <c r="AC389" s="440"/>
      <c r="AD389" s="440"/>
      <c r="AE389" s="440"/>
      <c r="AF389" s="440"/>
      <c r="AG389" s="440"/>
      <c r="AH389" s="440"/>
      <c r="AI389" s="440"/>
      <c r="AJ389" s="440"/>
      <c r="AK389" s="440"/>
      <c r="AL389" s="452"/>
    </row>
    <row r="390" spans="1:38">
      <c r="B390" s="2"/>
      <c r="C390" s="2"/>
      <c r="D390" s="2" t="s">
        <v>429</v>
      </c>
      <c r="E390" s="2" t="s">
        <v>1276</v>
      </c>
      <c r="F390" s="3"/>
      <c r="G390" s="2"/>
      <c r="I390" s="120"/>
      <c r="J390" s="3"/>
      <c r="K390" s="3"/>
      <c r="L390" s="3"/>
      <c r="M390" s="3"/>
      <c r="N390" s="3"/>
      <c r="O390" s="3"/>
      <c r="P390" s="3"/>
      <c r="Q390" s="3"/>
      <c r="R390" s="3"/>
      <c r="S390" s="3"/>
    </row>
    <row r="391" spans="1:38" ht="13.35" customHeight="1">
      <c r="B391" s="2"/>
      <c r="D391" s="2"/>
      <c r="E391" s="3" t="s">
        <v>1275</v>
      </c>
      <c r="F391" s="454"/>
      <c r="G391" s="454"/>
      <c r="H391" s="454"/>
      <c r="I391" s="454"/>
      <c r="J391" s="454"/>
      <c r="K391" s="454"/>
      <c r="L391" s="454"/>
      <c r="M391" s="454"/>
      <c r="N391" s="454"/>
      <c r="O391" s="454"/>
      <c r="P391" s="454"/>
      <c r="Q391" s="454"/>
      <c r="R391" s="454"/>
      <c r="S391" s="454"/>
      <c r="T391" s="454"/>
      <c r="U391" s="454"/>
      <c r="V391" s="454"/>
      <c r="W391" s="454"/>
      <c r="X391" s="454"/>
      <c r="Y391" s="454"/>
      <c r="Z391" s="454"/>
      <c r="AA391" s="454"/>
      <c r="AB391" s="454"/>
      <c r="AC391" s="454"/>
      <c r="AD391" s="454"/>
      <c r="AE391" s="454"/>
      <c r="AF391" s="454"/>
      <c r="AG391" s="454"/>
      <c r="AH391" s="454"/>
      <c r="AI391" s="454"/>
      <c r="AJ391" s="454"/>
      <c r="AK391" s="454"/>
    </row>
    <row r="392" spans="1:38">
      <c r="B392" s="2"/>
      <c r="E392" t="s">
        <v>1157</v>
      </c>
      <c r="F392" s="451"/>
      <c r="G392" s="451"/>
      <c r="H392" s="451"/>
      <c r="I392" s="451"/>
      <c r="J392" s="451"/>
      <c r="K392" s="451"/>
      <c r="L392" s="451"/>
      <c r="M392" s="451"/>
      <c r="N392" s="451"/>
      <c r="O392" s="451"/>
      <c r="P392" s="451"/>
      <c r="Q392" s="451"/>
      <c r="R392" s="451"/>
      <c r="S392" s="451"/>
      <c r="T392" s="451"/>
      <c r="U392" s="451"/>
      <c r="V392" s="451"/>
      <c r="W392" s="451"/>
      <c r="X392" s="451"/>
      <c r="Y392" s="451"/>
      <c r="Z392" s="451"/>
      <c r="AA392" s="451"/>
      <c r="AB392" s="451"/>
      <c r="AC392" s="451"/>
      <c r="AD392" s="451"/>
      <c r="AE392" s="451"/>
      <c r="AF392" s="451"/>
      <c r="AG392" s="451"/>
      <c r="AH392" s="451"/>
      <c r="AI392" s="451"/>
      <c r="AJ392" s="451"/>
      <c r="AK392" s="451"/>
      <c r="AL392" s="451"/>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B1" workbookViewId="0">
      <selection activeCell="C39" sqref="C39:H41"/>
    </sheetView>
  </sheetViews>
  <sheetFormatPr defaultColWidth="9.140625" defaultRowHeight="14.25"/>
  <cols>
    <col min="1" max="1" width="2.42578125" style="1043" customWidth="1"/>
    <col min="2" max="9" width="14.7109375" style="1043" customWidth="1"/>
    <col min="10" max="10" width="2.28515625" style="1043" customWidth="1"/>
    <col min="11" max="11" width="11.85546875" style="1044" customWidth="1"/>
    <col min="12" max="12" width="10.7109375" style="1043" customWidth="1"/>
    <col min="13" max="13" width="10.42578125" style="1043" customWidth="1"/>
    <col min="14" max="14" width="10.85546875" style="1043" customWidth="1"/>
    <col min="15" max="18" width="9.140625" style="1043"/>
    <col min="19" max="19" width="9.42578125" style="1043" bestFit="1" customWidth="1"/>
    <col min="20" max="16384" width="9.140625" style="1043"/>
  </cols>
  <sheetData>
    <row r="1" spans="1:13" ht="30" customHeight="1">
      <c r="A1" s="2670" t="s">
        <v>1586</v>
      </c>
      <c r="B1" s="2670"/>
      <c r="C1" s="2670"/>
      <c r="D1" s="2670"/>
      <c r="E1" s="2670"/>
      <c r="F1" s="2670"/>
      <c r="G1" s="2670"/>
      <c r="H1" s="2670"/>
      <c r="I1" s="2670"/>
      <c r="J1" s="2670"/>
    </row>
    <row r="2" spans="1:13" ht="15" customHeight="1" thickBot="1">
      <c r="A2" s="1045"/>
      <c r="B2" s="1045"/>
      <c r="I2" s="1046"/>
      <c r="K2" s="1047"/>
    </row>
    <row r="3" spans="1:13" s="1050" customFormat="1" ht="20.100000000000001" customHeight="1">
      <c r="A3" s="1099"/>
      <c r="B3" s="1100"/>
      <c r="C3" s="1101"/>
      <c r="D3" s="1106"/>
      <c r="E3" s="1101"/>
      <c r="F3" s="1102" t="s">
        <v>1991</v>
      </c>
      <c r="G3" s="1101"/>
      <c r="H3" s="1103">
        <f>E18</f>
        <v>40410940</v>
      </c>
      <c r="I3" s="1104"/>
    </row>
    <row r="4" spans="1:13" s="1050" customFormat="1" ht="20.100000000000001" customHeight="1">
      <c r="B4" s="1093"/>
      <c r="D4" s="1107"/>
      <c r="F4" s="1091" t="s">
        <v>1993</v>
      </c>
      <c r="G4" s="1090" t="s">
        <v>1992</v>
      </c>
      <c r="H4" s="1092">
        <f>I18</f>
        <v>32881853.676470589</v>
      </c>
      <c r="I4" s="1094"/>
      <c r="K4" s="1054"/>
    </row>
    <row r="5" spans="1:13" s="1050" customFormat="1" ht="20.100000000000001" customHeight="1" thickBot="1">
      <c r="B5" s="1095"/>
      <c r="C5" s="1096"/>
      <c r="D5" s="1108"/>
      <c r="E5" s="1097"/>
      <c r="F5" s="1108" t="s">
        <v>1943</v>
      </c>
      <c r="G5" s="1109"/>
      <c r="H5" s="1105">
        <f>IFERROR(H3/H4,0)</f>
        <v>1.2289739014597292</v>
      </c>
      <c r="I5" s="1098"/>
      <c r="K5" s="1054"/>
    </row>
    <row r="6" spans="1:13" s="1050" customFormat="1" ht="15" customHeight="1">
      <c r="B6" s="1051"/>
      <c r="C6" s="1052"/>
      <c r="F6" s="1053"/>
      <c r="K6" s="1054"/>
    </row>
    <row r="7" spans="1:13" s="1050" customFormat="1" ht="15" customHeight="1">
      <c r="E7" s="1055"/>
      <c r="F7" s="1053"/>
      <c r="K7" s="1056"/>
    </row>
    <row r="8" spans="1:13" s="1050" customFormat="1" ht="15" customHeight="1">
      <c r="A8" s="1057"/>
      <c r="B8" s="2673" t="s">
        <v>1941</v>
      </c>
      <c r="C8" s="2674"/>
      <c r="D8" s="2674"/>
      <c r="E8" s="2675"/>
      <c r="G8" s="2676" t="s">
        <v>1942</v>
      </c>
      <c r="H8" s="2677"/>
      <c r="I8" s="2678"/>
      <c r="K8" s="1056"/>
    </row>
    <row r="9" spans="1:13" ht="15" customHeight="1">
      <c r="A9" s="1045"/>
      <c r="B9" s="2671" t="s">
        <v>1975</v>
      </c>
      <c r="C9" s="2671"/>
      <c r="D9" s="2671"/>
      <c r="E9" s="1058">
        <f>G33</f>
        <v>6850000</v>
      </c>
      <c r="G9" s="2679" t="s">
        <v>1973</v>
      </c>
      <c r="H9" s="2679"/>
      <c r="I9" s="1059">
        <f>SUMIF(Application!M554:M565,"Loan, Tax-Exempt",Application!AM554:AM565)</f>
        <v>44487000</v>
      </c>
      <c r="K9" s="1060"/>
      <c r="M9" s="1061"/>
    </row>
    <row r="10" spans="1:13" ht="15" customHeight="1" thickBot="1">
      <c r="A10" s="1045"/>
      <c r="B10" s="2671" t="s">
        <v>1976</v>
      </c>
      <c r="C10" s="2671"/>
      <c r="D10" s="2671"/>
      <c r="E10" s="1059">
        <f>G47</f>
        <v>18599940</v>
      </c>
      <c r="G10" s="2683" t="s">
        <v>1944</v>
      </c>
      <c r="H10" s="2683"/>
      <c r="I10" s="1139">
        <f>'Basis &amp; Credits'!AB78</f>
        <v>0</v>
      </c>
      <c r="M10" s="1061"/>
    </row>
    <row r="11" spans="1:13" ht="15" customHeight="1">
      <c r="A11" s="1045"/>
      <c r="B11" s="2687" t="s">
        <v>2265</v>
      </c>
      <c r="C11" s="2688"/>
      <c r="D11" s="2689"/>
      <c r="E11" s="1059">
        <f>SUM(E12,E13)</f>
        <v>2220000</v>
      </c>
      <c r="G11" s="2686" t="s">
        <v>1984</v>
      </c>
      <c r="H11" s="2686"/>
      <c r="I11" s="1138">
        <f>I9+I10</f>
        <v>44487000</v>
      </c>
      <c r="M11" s="1061"/>
    </row>
    <row r="12" spans="1:13" ht="15" customHeight="1">
      <c r="A12" s="1062"/>
      <c r="B12" s="2672" t="s">
        <v>2267</v>
      </c>
      <c r="C12" s="2672"/>
      <c r="D12" s="2672"/>
      <c r="E12" s="1164">
        <f>G56</f>
        <v>740000</v>
      </c>
      <c r="M12" s="1061"/>
    </row>
    <row r="13" spans="1:13" ht="15" customHeight="1">
      <c r="A13" s="1048"/>
      <c r="B13" s="2672" t="s">
        <v>2268</v>
      </c>
      <c r="C13" s="2672"/>
      <c r="D13" s="2672"/>
      <c r="E13" s="1164">
        <f>G65</f>
        <v>1480000</v>
      </c>
      <c r="G13" s="2676" t="s">
        <v>2007</v>
      </c>
      <c r="H13" s="2677"/>
      <c r="I13" s="2678"/>
      <c r="M13" s="1061"/>
    </row>
    <row r="14" spans="1:13" ht="15" customHeight="1">
      <c r="A14" s="1048"/>
      <c r="B14" s="2687" t="s">
        <v>2266</v>
      </c>
      <c r="C14" s="2688"/>
      <c r="D14" s="2689"/>
      <c r="E14" s="1166">
        <f>MAX(E15,E16)+E17</f>
        <v>12741000</v>
      </c>
      <c r="G14" s="2679" t="s">
        <v>139</v>
      </c>
      <c r="H14" s="2679"/>
      <c r="I14" s="1063">
        <f>15%*(AND(G120="Yes",G122&lt;&gt;""))</f>
        <v>0.15</v>
      </c>
      <c r="M14" s="1061"/>
    </row>
    <row r="15" spans="1:13" ht="15" customHeight="1">
      <c r="A15" s="1048"/>
      <c r="B15" s="2690" t="s">
        <v>2272</v>
      </c>
      <c r="C15" s="2691"/>
      <c r="D15" s="2692"/>
      <c r="E15" s="1164">
        <f>G80</f>
        <v>1370000</v>
      </c>
      <c r="G15" s="1136" t="s">
        <v>1985</v>
      </c>
      <c r="H15" s="1136"/>
      <c r="I15" s="1063">
        <f>IF(Application!AJ1032&gt;0,10%,IF(Application!AJ1036&gt;0,5%,0))</f>
        <v>0.05</v>
      </c>
      <c r="M15" s="1061"/>
    </row>
    <row r="16" spans="1:13" ht="15" customHeight="1">
      <c r="A16" s="1048"/>
      <c r="B16" s="2690" t="s">
        <v>2271</v>
      </c>
      <c r="C16" s="2691"/>
      <c r="D16" s="2692"/>
      <c r="E16" s="1164">
        <f>G90</f>
        <v>2740000</v>
      </c>
      <c r="G16" s="2679" t="s">
        <v>1986</v>
      </c>
      <c r="H16" s="2679"/>
      <c r="I16" s="1063">
        <f>G132</f>
        <v>6.0866013071895424E-2</v>
      </c>
    </row>
    <row r="17" spans="1:21" ht="15" customHeight="1" thickBot="1">
      <c r="A17" s="1048"/>
      <c r="B17" s="2690" t="s">
        <v>2270</v>
      </c>
      <c r="C17" s="2691"/>
      <c r="D17" s="2692"/>
      <c r="E17" s="1164">
        <f>G115</f>
        <v>10001000</v>
      </c>
      <c r="G17" s="2679" t="s">
        <v>2280</v>
      </c>
      <c r="H17" s="2679"/>
      <c r="I17" s="1063">
        <f>IF(AND(G139="Yes",OR(G136,G137)),IF(G143&gt;15%,15%,G143),0)</f>
        <v>0</v>
      </c>
    </row>
    <row r="18" spans="1:21" ht="15" customHeight="1">
      <c r="A18" s="1045"/>
      <c r="B18" s="2682" t="s">
        <v>1940</v>
      </c>
      <c r="C18" s="2682"/>
      <c r="D18" s="2682"/>
      <c r="E18" s="1110">
        <f>SUM(E9:E11,E14)</f>
        <v>40410940</v>
      </c>
      <c r="G18" s="1137" t="s">
        <v>1974</v>
      </c>
      <c r="H18" s="1137"/>
      <c r="I18" s="1111">
        <f>I11-((I11*I14)+(I11*I15)+(I11*I16)+(I11*I17))</f>
        <v>32881853.676470589</v>
      </c>
      <c r="M18" s="1064">
        <f>SUM(Cdlac[Quantity])</f>
        <v>149</v>
      </c>
      <c r="O18" s="1083" t="s">
        <v>583</v>
      </c>
      <c r="P18" s="1043">
        <f>MATCH(Application!T189,Application!CB160:CB217,0)</f>
        <v>19</v>
      </c>
      <c r="T18" s="1064">
        <f>SUM(Cdlac[Population])</f>
        <v>75</v>
      </c>
    </row>
    <row r="19" spans="1:21" ht="15" customHeight="1">
      <c r="A19" s="1045"/>
      <c r="B19" s="1045"/>
      <c r="C19" s="1045"/>
      <c r="D19" s="1045"/>
      <c r="E19" s="1045"/>
      <c r="L19" s="1043" t="s">
        <v>1936</v>
      </c>
      <c r="M19" s="1043" t="s">
        <v>1935</v>
      </c>
      <c r="N19" s="1043" t="s">
        <v>1947</v>
      </c>
      <c r="O19" s="1043" t="s">
        <v>1948</v>
      </c>
      <c r="P19" s="1043" t="s">
        <v>1937</v>
      </c>
      <c r="Q19" s="1043" t="s">
        <v>2263</v>
      </c>
      <c r="R19" s="1043" t="s">
        <v>1938</v>
      </c>
      <c r="S19" s="1043" t="s">
        <v>1949</v>
      </c>
      <c r="T19" s="1043" t="s">
        <v>1955</v>
      </c>
      <c r="U19" s="1043" t="s">
        <v>385</v>
      </c>
    </row>
    <row r="20" spans="1:21" ht="15" customHeight="1">
      <c r="B20" s="1065" t="str">
        <f>B9</f>
        <v>A. Unit Production Benefit</v>
      </c>
      <c r="C20" s="1066"/>
      <c r="D20" s="1066"/>
      <c r="E20" s="1066"/>
      <c r="F20" s="1066"/>
      <c r="G20" s="1066"/>
      <c r="H20" s="1066"/>
      <c r="I20" s="1067"/>
      <c r="L20" s="1043">
        <f>IFERROR(MIN(4,MATCH(Application!B718,UnitSizes,0)-1),"")</f>
        <v>0</v>
      </c>
      <c r="M20" s="1064">
        <f>Application!G718</f>
        <v>60</v>
      </c>
      <c r="N20" s="1070">
        <f>Application!AC718</f>
        <v>0.3</v>
      </c>
      <c r="O20" s="1070">
        <f>IF(Cdlac[[#This Row],[Quantity]]&gt;0,IF(Cdlac[[#This Row],[Federal]],30%,IF(AND(OR(NOT($G$38),$G$38=""),$G$43),40%,Cdlac[[#This Row],[iAMI]])),"")</f>
        <v>0.3</v>
      </c>
      <c r="P20" s="1064" cm="1">
        <f t="array" ref="P20">IF(Cdlac[[#This Row],[Quantity]]&gt;0,INDEX(TcacRents,$P$18,Cdlac[[#This Row],[Bedrooms]]+1)*Cdlac[[#This Row],[AMI]],"")</f>
        <v>795</v>
      </c>
      <c r="Q20" s="1163"/>
      <c r="R20" s="1064" cm="1">
        <f t="array" ref="R20">IF(Cdlac[[#This Row],[Quantity]]&gt;0,INDEX(HudFmrs,$P$18,Cdlac[[#This Row],[Bedrooms]]+1),"")</f>
        <v>1856</v>
      </c>
      <c r="S20" s="1064">
        <f>IF(Cdlac[[#This Row],[Quantity]]&gt;0,MAX(0,Cdlac[[#This Row],[Fair Market Rent]]-IF(AND($G$37,$G$38,$G$38&lt;&gt;"",NOT(Cdlac[[#This Row],[Federal]]),Cdlac[[#This Row],[Preservation Rent]]&lt;&gt;""),Cdlac[[#This Row],[Preservation Rent]],Cdlac[[#This Row],[Restricted Rent]])),"")</f>
        <v>1061</v>
      </c>
      <c r="T20" s="1043">
        <f>IF(Cdlac[[#This Row],[Quantity]]&gt;0,AND(Application!AK718&lt;&gt;"N/A",Application!AK718&lt;&gt;"")*Cdlac[[#This Row],[Quantity]],"")</f>
        <v>60</v>
      </c>
      <c r="U20" s="1043" t="b">
        <f>AND('Subsidy Contract Calculation'!F4&gt;0,OR('Subsidy Contract Calculation'!C4="Federal",'Subsidy Contract Calculation'!C4="Local - Approved by ED"),Cdlac[[#This Row],[Quantity]]&gt;0)</f>
        <v>1</v>
      </c>
    </row>
    <row r="21" spans="1:21" ht="15" customHeight="1">
      <c r="A21" s="1045"/>
      <c r="B21" s="1045"/>
      <c r="I21" s="1068"/>
      <c r="L21" s="1043">
        <f>IFERROR(MIN(4,MATCH(Application!B719,UnitSizes,0)-1),"")</f>
        <v>1</v>
      </c>
      <c r="M21" s="1064">
        <f>Application!G719</f>
        <v>15</v>
      </c>
      <c r="N21" s="1070">
        <f>Application!AC719</f>
        <v>0.3</v>
      </c>
      <c r="O21" s="1070">
        <f>IF(Cdlac[[#This Row],[Quantity]]&gt;0,IF(Cdlac[[#This Row],[Federal]],30%,IF(AND(OR(NOT($G$38),$G$38=""),$G$43),40%,Cdlac[[#This Row],[iAMI]])),"")</f>
        <v>0.3</v>
      </c>
      <c r="P21" s="1064" cm="1">
        <f t="array" ref="P21">IF(Cdlac[[#This Row],[Quantity]]&gt;0,INDEX(TcacRents,$P$18,Cdlac[[#This Row],[Bedrooms]]+1)*Cdlac[[#This Row],[AMI]],"")</f>
        <v>852</v>
      </c>
      <c r="Q21" s="1163"/>
      <c r="R21" s="1064" cm="1">
        <f t="array" ref="R21">IF(Cdlac[[#This Row],[Quantity]]&gt;0,INDEX(HudFmrs,$P$18,Cdlac[[#This Row],[Bedrooms]]+1),"")</f>
        <v>2081</v>
      </c>
      <c r="S21" s="1064">
        <f>IF(Cdlac[[#This Row],[Quantity]]&gt;0,MAX(0,Cdlac[[#This Row],[Fair Market Rent]]-IF(AND($G$37,$G$38,$G$38&lt;&gt;"",NOT(Cdlac[[#This Row],[Federal]]),Cdlac[[#This Row],[Preservation Rent]]&lt;&gt;""),Cdlac[[#This Row],[Preservation Rent]],Cdlac[[#This Row],[Restricted Rent]])),"")</f>
        <v>1229</v>
      </c>
      <c r="T21" s="1043">
        <f>IF(Cdlac[[#This Row],[Quantity]]&gt;0,AND(Application!AK719&lt;&gt;"N/A",Application!AK719&lt;&gt;"")*Cdlac[[#This Row],[Quantity]],"")</f>
        <v>15</v>
      </c>
      <c r="U21" s="1043" t="b">
        <f>AND('Subsidy Contract Calculation'!F5&gt;0,OR('Subsidy Contract Calculation'!C5="Federal",'Subsidy Contract Calculation'!C5="Local - Approved by ED"),Cdlac[[#This Row],[Quantity]]&gt;0)</f>
        <v>1</v>
      </c>
    </row>
    <row r="22" spans="1:21" ht="15" customHeight="1">
      <c r="A22" s="1048"/>
      <c r="C22" s="2680" t="s">
        <v>1988</v>
      </c>
      <c r="D22" s="2680" t="s">
        <v>1989</v>
      </c>
      <c r="E22" s="2680" t="s">
        <v>1990</v>
      </c>
      <c r="F22" s="2680" t="s">
        <v>2611</v>
      </c>
      <c r="G22" s="2680" t="s">
        <v>1987</v>
      </c>
      <c r="H22" s="1069"/>
      <c r="I22" s="1068"/>
      <c r="L22" s="1043">
        <f>IFERROR(MIN(4,MATCH(Application!B720,UnitSizes,0)-1),"")</f>
        <v>0</v>
      </c>
      <c r="M22" s="1064">
        <f>Application!G720</f>
        <v>60</v>
      </c>
      <c r="N22" s="1070">
        <f>Application!AC720</f>
        <v>0.6</v>
      </c>
      <c r="O22" s="1070">
        <f>IF(Cdlac[[#This Row],[Quantity]]&gt;0,IF(Cdlac[[#This Row],[Federal]],30%,IF(AND(OR(NOT($G$38),$G$38=""),$G$43),40%,Cdlac[[#This Row],[iAMI]])),"")</f>
        <v>0.6</v>
      </c>
      <c r="P22" s="1064" cm="1">
        <f t="array" ref="P22">IF(Cdlac[[#This Row],[Quantity]]&gt;0,INDEX(TcacRents,$P$18,Cdlac[[#This Row],[Bedrooms]]+1)*Cdlac[[#This Row],[AMI]],"")</f>
        <v>1590</v>
      </c>
      <c r="Q22" s="1163"/>
      <c r="R22" s="1064" cm="1">
        <f t="array" ref="R22">IF(Cdlac[[#This Row],[Quantity]]&gt;0,INDEX(HudFmrs,$P$18,Cdlac[[#This Row],[Bedrooms]]+1),"")</f>
        <v>1856</v>
      </c>
      <c r="S22" s="1064">
        <f>IF(Cdlac[[#This Row],[Quantity]]&gt;0,MAX(0,Cdlac[[#This Row],[Fair Market Rent]]-IF(AND($G$37,$G$38,$G$38&lt;&gt;"",NOT(Cdlac[[#This Row],[Federal]]),Cdlac[[#This Row],[Preservation Rent]]&lt;&gt;""),Cdlac[[#This Row],[Preservation Rent]],Cdlac[[#This Row],[Restricted Rent]])),"")</f>
        <v>266</v>
      </c>
      <c r="T22" s="1043">
        <f>IF(Cdlac[[#This Row],[Quantity]]&gt;0,AND(Application!AK720&lt;&gt;"N/A",Application!AK720&lt;&gt;"")*Cdlac[[#This Row],[Quantity]],"")</f>
        <v>0</v>
      </c>
      <c r="U22" s="1043" t="b">
        <f>AND('Subsidy Contract Calculation'!F6&gt;0,OR('Subsidy Contract Calculation'!C6="Federal",'Subsidy Contract Calculation'!C6="Local - Approved by ED"),Cdlac[[#This Row],[Quantity]]&gt;0)</f>
        <v>0</v>
      </c>
    </row>
    <row r="23" spans="1:21" ht="15" customHeight="1">
      <c r="A23" s="1048"/>
      <c r="C23" s="2681"/>
      <c r="D23" s="2681"/>
      <c r="E23" s="2681"/>
      <c r="F23" s="2681"/>
      <c r="G23" s="2681"/>
      <c r="H23" s="1069"/>
      <c r="I23" s="1068"/>
      <c r="L23" s="1043">
        <f>IFERROR(MIN(4,MATCH(Application!B721,UnitSizes,0)-1),"")</f>
        <v>1</v>
      </c>
      <c r="M23" s="1064">
        <f>Application!G721</f>
        <v>14</v>
      </c>
      <c r="N23" s="1070">
        <f>Application!AC721</f>
        <v>0.6</v>
      </c>
      <c r="O23" s="1070">
        <f>IF(Cdlac[[#This Row],[Quantity]]&gt;0,IF(Cdlac[[#This Row],[Federal]],30%,IF(AND(OR(NOT($G$38),$G$38=""),$G$43),40%,Cdlac[[#This Row],[iAMI]])),"")</f>
        <v>0.6</v>
      </c>
      <c r="P23" s="1064" cm="1">
        <f t="array" ref="P23">IF(Cdlac[[#This Row],[Quantity]]&gt;0,INDEX(TcacRents,$P$18,Cdlac[[#This Row],[Bedrooms]]+1)*Cdlac[[#This Row],[AMI]],"")</f>
        <v>1704</v>
      </c>
      <c r="Q23" s="1163"/>
      <c r="R23" s="1064" cm="1">
        <f t="array" ref="R23">IF(Cdlac[[#This Row],[Quantity]]&gt;0,INDEX(HudFmrs,$P$18,Cdlac[[#This Row],[Bedrooms]]+1),"")</f>
        <v>2081</v>
      </c>
      <c r="S23" s="1064">
        <f>IF(Cdlac[[#This Row],[Quantity]]&gt;0,MAX(0,Cdlac[[#This Row],[Fair Market Rent]]-IF(AND($G$37,$G$38,$G$38&lt;&gt;"",NOT(Cdlac[[#This Row],[Federal]]),Cdlac[[#This Row],[Preservation Rent]]&lt;&gt;""),Cdlac[[#This Row],[Preservation Rent]],Cdlac[[#This Row],[Restricted Rent]])),"")</f>
        <v>377</v>
      </c>
      <c r="T23" s="1043">
        <f>IF(Cdlac[[#This Row],[Quantity]]&gt;0,AND(Application!AK721&lt;&gt;"N/A",Application!AK721&lt;&gt;"")*Cdlac[[#This Row],[Quantity]],"")</f>
        <v>0</v>
      </c>
      <c r="U23" s="1043" t="b">
        <f>AND('Subsidy Contract Calculation'!F7&gt;0,OR('Subsidy Contract Calculation'!C7="Federal",'Subsidy Contract Calculation'!C7="Local - Approved by ED"),Cdlac[[#This Row],[Quantity]]&gt;0)</f>
        <v>0</v>
      </c>
    </row>
    <row r="24" spans="1:21" ht="15" customHeight="1">
      <c r="C24" s="1071">
        <v>0</v>
      </c>
      <c r="D24" s="1072">
        <v>0.9</v>
      </c>
      <c r="E24" s="1071">
        <f>SUMIFS(Cdlac[Quantity],Cdlac[Bedrooms],C24)</f>
        <v>120</v>
      </c>
      <c r="F24" s="1071">
        <f>E24</f>
        <v>120</v>
      </c>
      <c r="G24" s="1071">
        <f>D24*F24</f>
        <v>108</v>
      </c>
      <c r="L24" s="1043" t="str">
        <f>IFERROR(MIN(4,MATCH(Application!B722,UnitSizes,0)-1),"")</f>
        <v/>
      </c>
      <c r="M24" s="1064">
        <f>Application!G722</f>
        <v>0</v>
      </c>
      <c r="N24" s="1070">
        <f>Application!AC722</f>
        <v>0</v>
      </c>
      <c r="O24" s="1070" t="str">
        <f>IF(Cdlac[[#This Row],[Quantity]]&gt;0,IF(Cdlac[[#This Row],[Federal]],30%,IF(AND(OR(NOT($G$38),$G$38=""),$G$43),40%,Cdlac[[#This Row],[iAMI]])),"")</f>
        <v/>
      </c>
      <c r="P24" s="1064" t="str" cm="1">
        <f t="array" ref="P24">IF(Cdlac[[#This Row],[Quantity]]&gt;0,INDEX(TcacRents,$P$18,Cdlac[[#This Row],[Bedrooms]]+1)*Cdlac[[#This Row],[AMI]],"")</f>
        <v/>
      </c>
      <c r="Q24" s="1163"/>
      <c r="R24" s="1064" t="str" cm="1">
        <f t="array" ref="R24">IF(Cdlac[[#This Row],[Quantity]]&gt;0,INDEX(HudFmrs,$P$18,Cdlac[[#This Row],[Bedrooms]]+1),"")</f>
        <v/>
      </c>
      <c r="S24" s="1064" t="str">
        <f>IF(Cdlac[[#This Row],[Quantity]]&gt;0,MAX(0,Cdlac[[#This Row],[Fair Market Rent]]-IF(AND($G$37,$G$38,$G$38&lt;&gt;"",NOT(Cdlac[[#This Row],[Federal]]),Cdlac[[#This Row],[Preservation Rent]]&lt;&gt;""),Cdlac[[#This Row],[Preservation Rent]],Cdlac[[#This Row],[Restricted Rent]])),"")</f>
        <v/>
      </c>
      <c r="T24" s="1043" t="str">
        <f>IF(Cdlac[[#This Row],[Quantity]]&gt;0,AND(Application!AK722&lt;&gt;"N/A",Application!AK722&lt;&gt;"")*Cdlac[[#This Row],[Quantity]],"")</f>
        <v/>
      </c>
      <c r="U24" s="1043" t="b">
        <f>AND('Subsidy Contract Calculation'!F8&gt;0,OR('Subsidy Contract Calculation'!C8="Federal",'Subsidy Contract Calculation'!C8="Local - Approved by ED"),Cdlac[[#This Row],[Quantity]]&gt;0)</f>
        <v>0</v>
      </c>
    </row>
    <row r="25" spans="1:21" ht="15" customHeight="1">
      <c r="C25" s="1071">
        <v>1</v>
      </c>
      <c r="D25" s="1072">
        <v>1</v>
      </c>
      <c r="E25" s="1071">
        <f>SUMIFS(Cdlac[Quantity],Cdlac[Bedrooms],C25)</f>
        <v>29</v>
      </c>
      <c r="F25" s="1071">
        <f>E25</f>
        <v>29</v>
      </c>
      <c r="G25" s="1071">
        <f>D25*F25</f>
        <v>29</v>
      </c>
      <c r="L25" s="1043" t="str">
        <f>IFERROR(MIN(4,MATCH(Application!B723,UnitSizes,0)-1),"")</f>
        <v/>
      </c>
      <c r="M25" s="1064">
        <f>Application!G723</f>
        <v>0</v>
      </c>
      <c r="N25" s="1070">
        <f>Application!AC723</f>
        <v>0</v>
      </c>
      <c r="O25" s="1070" t="str">
        <f>IF(Cdlac[[#This Row],[Quantity]]&gt;0,IF(Cdlac[[#This Row],[Federal]],30%,IF(AND(OR(NOT($G$38),$G$38=""),$G$43),40%,Cdlac[[#This Row],[iAMI]])),"")</f>
        <v/>
      </c>
      <c r="P25" s="1064" t="str" cm="1">
        <f t="array" ref="P25">IF(Cdlac[[#This Row],[Quantity]]&gt;0,INDEX(TcacRents,$P$18,Cdlac[[#This Row],[Bedrooms]]+1)*Cdlac[[#This Row],[AMI]],"")</f>
        <v/>
      </c>
      <c r="Q25" s="1163"/>
      <c r="R25" s="1064" t="str" cm="1">
        <f t="array" ref="R25">IF(Cdlac[[#This Row],[Quantity]]&gt;0,INDEX(HudFmrs,$P$18,Cdlac[[#This Row],[Bedrooms]]+1),"")</f>
        <v/>
      </c>
      <c r="S25" s="1064" t="str">
        <f>IF(Cdlac[[#This Row],[Quantity]]&gt;0,MAX(0,Cdlac[[#This Row],[Fair Market Rent]]-IF(AND($G$37,$G$38,$G$38&lt;&gt;"",NOT(Cdlac[[#This Row],[Federal]]),Cdlac[[#This Row],[Preservation Rent]]&lt;&gt;""),Cdlac[[#This Row],[Preservation Rent]],Cdlac[[#This Row],[Restricted Rent]])),"")</f>
        <v/>
      </c>
      <c r="T25" s="1043" t="str">
        <f>IF(Cdlac[[#This Row],[Quantity]]&gt;0,AND(Application!AK723&lt;&gt;"N/A",Application!AK723&lt;&gt;"")*Cdlac[[#This Row],[Quantity]],"")</f>
        <v/>
      </c>
      <c r="U25" s="1043" t="b">
        <f>AND('Subsidy Contract Calculation'!F9&gt;0,OR('Subsidy Contract Calculation'!C9="Federal",'Subsidy Contract Calculation'!C9="Local - Approved by ED"),Cdlac[[#This Row],[Quantity]]&gt;0)</f>
        <v>0</v>
      </c>
    </row>
    <row r="26" spans="1:21" ht="15" customHeight="1">
      <c r="A26" s="1073"/>
      <c r="C26" s="1074">
        <v>2</v>
      </c>
      <c r="D26" s="1072">
        <v>1.25</v>
      </c>
      <c r="E26" s="1071">
        <f>SUMIFS(Cdlac[Quantity],Cdlac[Bedrooms],C26)</f>
        <v>0</v>
      </c>
      <c r="F26" s="1074">
        <f>SUM(E26:E28)-SUM(F27:F28)</f>
        <v>0</v>
      </c>
      <c r="G26" s="1071">
        <f>D26*F26</f>
        <v>0</v>
      </c>
      <c r="H26" s="1073"/>
      <c r="I26" s="1073"/>
      <c r="L26" s="1043" t="str">
        <f>IFERROR(MIN(4,MATCH(Application!B724,UnitSizes,0)-1),"")</f>
        <v/>
      </c>
      <c r="M26" s="1064">
        <f>Application!G724</f>
        <v>0</v>
      </c>
      <c r="N26" s="1070">
        <f>Application!AC724</f>
        <v>0</v>
      </c>
      <c r="O26" s="1070" t="str">
        <f>IF(Cdlac[[#This Row],[Quantity]]&gt;0,IF(Cdlac[[#This Row],[Federal]],30%,IF(AND(OR(NOT($G$38),$G$38=""),$G$43),40%,Cdlac[[#This Row],[iAMI]])),"")</f>
        <v/>
      </c>
      <c r="P26" s="1064" t="str" cm="1">
        <f t="array" ref="P26">IF(Cdlac[[#This Row],[Quantity]]&gt;0,INDEX(TcacRents,$P$18,Cdlac[[#This Row],[Bedrooms]]+1)*Cdlac[[#This Row],[AMI]],"")</f>
        <v/>
      </c>
      <c r="Q26" s="1163"/>
      <c r="R26" s="1064" t="str" cm="1">
        <f t="array" ref="R26">IF(Cdlac[[#This Row],[Quantity]]&gt;0,INDEX(HudFmrs,$P$18,Cdlac[[#This Row],[Bedrooms]]+1),"")</f>
        <v/>
      </c>
      <c r="S26" s="1064" t="str">
        <f>IF(Cdlac[[#This Row],[Quantity]]&gt;0,MAX(0,Cdlac[[#This Row],[Fair Market Rent]]-IF(AND($G$37,$G$38,$G$38&lt;&gt;"",NOT(Cdlac[[#This Row],[Federal]]),Cdlac[[#This Row],[Preservation Rent]]&lt;&gt;""),Cdlac[[#This Row],[Preservation Rent]],Cdlac[[#This Row],[Restricted Rent]])),"")</f>
        <v/>
      </c>
      <c r="T26" s="1043" t="str">
        <f>IF(Cdlac[[#This Row],[Quantity]]&gt;0,AND(Application!AK724&lt;&gt;"N/A",Application!AK724&lt;&gt;"")*Cdlac[[#This Row],[Quantity]],"")</f>
        <v/>
      </c>
      <c r="U26" s="1043" t="b">
        <f>AND('Subsidy Contract Calculation'!F10&gt;0,OR('Subsidy Contract Calculation'!C10="Federal",'Subsidy Contract Calculation'!C10="Local - Approved by ED"),Cdlac[[#This Row],[Quantity]]&gt;0)</f>
        <v>0</v>
      </c>
    </row>
    <row r="27" spans="1:21" ht="15" customHeight="1">
      <c r="A27" s="1073"/>
      <c r="C27" s="1074">
        <v>3</v>
      </c>
      <c r="D27" s="1072">
        <f>1.5+0.25*0</f>
        <v>1.5</v>
      </c>
      <c r="E27" s="1071">
        <f>SUMIFS(Cdlac[Quantity],Cdlac[Bedrooms],C27)</f>
        <v>0</v>
      </c>
      <c r="F27" s="1074">
        <f>MIN(E27,ROUNDDOWN(E29*30%,0))</f>
        <v>0</v>
      </c>
      <c r="G27" s="1071">
        <f>D27*F27</f>
        <v>0</v>
      </c>
      <c r="H27" s="1073"/>
      <c r="I27" s="1073"/>
      <c r="L27" s="1043" t="str">
        <f>IFERROR(MIN(4,MATCH(Application!B725,UnitSizes,0)-1),"")</f>
        <v/>
      </c>
      <c r="M27" s="1064">
        <f>Application!G725</f>
        <v>0</v>
      </c>
      <c r="N27" s="1070">
        <f>Application!AC725</f>
        <v>0</v>
      </c>
      <c r="O27" s="1070" t="str">
        <f>IF(Cdlac[[#This Row],[Quantity]]&gt;0,IF(Cdlac[[#This Row],[Federal]],30%,IF(AND(OR(NOT($G$38),$G$38=""),$G$43),40%,Cdlac[[#This Row],[iAMI]])),"")</f>
        <v/>
      </c>
      <c r="P27" s="1064" t="str" cm="1">
        <f t="array" ref="P27">IF(Cdlac[[#This Row],[Quantity]]&gt;0,INDEX(TcacRents,$P$18,Cdlac[[#This Row],[Bedrooms]]+1)*Cdlac[[#This Row],[AMI]],"")</f>
        <v/>
      </c>
      <c r="Q27" s="1163"/>
      <c r="R27" s="1064" t="str" cm="1">
        <f t="array" ref="R27">IF(Cdlac[[#This Row],[Quantity]]&gt;0,INDEX(HudFmrs,$P$18,Cdlac[[#This Row],[Bedrooms]]+1),"")</f>
        <v/>
      </c>
      <c r="S27" s="1064" t="str">
        <f>IF(Cdlac[[#This Row],[Quantity]]&gt;0,MAX(0,Cdlac[[#This Row],[Fair Market Rent]]-IF(AND($G$37,$G$38,$G$38&lt;&gt;"",NOT(Cdlac[[#This Row],[Federal]]),Cdlac[[#This Row],[Preservation Rent]]&lt;&gt;""),Cdlac[[#This Row],[Preservation Rent]],Cdlac[[#This Row],[Restricted Rent]])),"")</f>
        <v/>
      </c>
      <c r="T27" s="1043" t="str">
        <f>IF(Cdlac[[#This Row],[Quantity]]&gt;0,AND(Application!AK725&lt;&gt;"N/A",Application!AK725&lt;&gt;"")*Cdlac[[#This Row],[Quantity]],"")</f>
        <v/>
      </c>
      <c r="U27" s="1043" t="b">
        <f>AND('Subsidy Contract Calculation'!F11&gt;0,OR('Subsidy Contract Calculation'!C11="Federal",'Subsidy Contract Calculation'!C11="Local - Approved by ED"),Cdlac[[#This Row],[Quantity]]&gt;0)</f>
        <v>0</v>
      </c>
    </row>
    <row r="28" spans="1:21" ht="15" customHeight="1" thickBot="1">
      <c r="A28" s="1073"/>
      <c r="C28" s="1085">
        <v>4</v>
      </c>
      <c r="D28" s="1086">
        <f>1.75+0.25*0</f>
        <v>1.75</v>
      </c>
      <c r="E28" s="1087">
        <f>SUMIFS(Cdlac[Quantity],Cdlac[Bedrooms],C28)</f>
        <v>0</v>
      </c>
      <c r="F28" s="1085">
        <f>MIN(E28,ROUNDDOWN(E29*10%,0))</f>
        <v>0</v>
      </c>
      <c r="G28" s="1087">
        <f>D28*F28</f>
        <v>0</v>
      </c>
      <c r="H28" s="1073"/>
      <c r="I28" s="1073"/>
      <c r="L28" s="1043" t="str">
        <f>IFERROR(MIN(4,MATCH(Application!B726,UnitSizes,0)-1),"")</f>
        <v/>
      </c>
      <c r="M28" s="1064">
        <f>Application!G726</f>
        <v>0</v>
      </c>
      <c r="N28" s="1070">
        <f>Application!AC726</f>
        <v>0</v>
      </c>
      <c r="O28" s="1070" t="str">
        <f>IF(Cdlac[[#This Row],[Quantity]]&gt;0,IF(Cdlac[[#This Row],[Federal]],30%,IF(AND(OR(NOT($G$38),$G$38=""),$G$43),40%,Cdlac[[#This Row],[iAMI]])),"")</f>
        <v/>
      </c>
      <c r="P28" s="1064" t="str" cm="1">
        <f t="array" ref="P28">IF(Cdlac[[#This Row],[Quantity]]&gt;0,INDEX(TcacRents,$P$18,Cdlac[[#This Row],[Bedrooms]]+1)*Cdlac[[#This Row],[AMI]],"")</f>
        <v/>
      </c>
      <c r="Q28" s="1163"/>
      <c r="R28" s="1064" t="str" cm="1">
        <f t="array" ref="R28">IF(Cdlac[[#This Row],[Quantity]]&gt;0,INDEX(HudFmrs,$P$18,Cdlac[[#This Row],[Bedrooms]]+1),"")</f>
        <v/>
      </c>
      <c r="S28" s="1064" t="str">
        <f>IF(Cdlac[[#This Row],[Quantity]]&gt;0,MAX(0,Cdlac[[#This Row],[Fair Market Rent]]-IF(AND($G$37,$G$38,$G$38&lt;&gt;"",NOT(Cdlac[[#This Row],[Federal]]),Cdlac[[#This Row],[Preservation Rent]]&lt;&gt;""),Cdlac[[#This Row],[Preservation Rent]],Cdlac[[#This Row],[Restricted Rent]])),"")</f>
        <v/>
      </c>
      <c r="T28" s="1043" t="str">
        <f>IF(Cdlac[[#This Row],[Quantity]]&gt;0,AND(Application!AK726&lt;&gt;"N/A",Application!AK726&lt;&gt;"")*Cdlac[[#This Row],[Quantity]],"")</f>
        <v/>
      </c>
      <c r="U28" s="1043" t="b">
        <f>AND('Subsidy Contract Calculation'!F12&gt;0,OR('Subsidy Contract Calculation'!C12="Federal",'Subsidy Contract Calculation'!C12="Local - Approved by ED"),Cdlac[[#This Row],[Quantity]]&gt;0)</f>
        <v>0</v>
      </c>
    </row>
    <row r="29" spans="1:21" ht="15" customHeight="1">
      <c r="A29" s="1073"/>
      <c r="C29" s="2694" t="s">
        <v>1587</v>
      </c>
      <c r="D29" s="2695"/>
      <c r="E29" s="1088">
        <f>SUM(E24:E28)</f>
        <v>149</v>
      </c>
      <c r="F29" s="1088">
        <f>SUM(F24:F28)</f>
        <v>149</v>
      </c>
      <c r="G29" s="1089">
        <f>SUMPRODUCT(D24:D28,F24:F28)</f>
        <v>137</v>
      </c>
      <c r="H29" s="1073"/>
      <c r="I29" s="1073"/>
      <c r="L29" s="1043" t="str">
        <f>IFERROR(MIN(4,MATCH(Application!B727,UnitSizes,0)-1),"")</f>
        <v/>
      </c>
      <c r="M29" s="1064">
        <f>Application!G727</f>
        <v>0</v>
      </c>
      <c r="N29" s="1070">
        <f>Application!AC727</f>
        <v>0</v>
      </c>
      <c r="O29" s="1070" t="str">
        <f>IF(Cdlac[[#This Row],[Quantity]]&gt;0,IF(Cdlac[[#This Row],[Federal]],30%,IF(AND(OR(NOT($G$38),$G$38=""),$G$43),40%,Cdlac[[#This Row],[iAMI]])),"")</f>
        <v/>
      </c>
      <c r="P29" s="1064" t="str" cm="1">
        <f t="array" ref="P29">IF(Cdlac[[#This Row],[Quantity]]&gt;0,INDEX(TcacRents,$P$18,Cdlac[[#This Row],[Bedrooms]]+1)*Cdlac[[#This Row],[AMI]],"")</f>
        <v/>
      </c>
      <c r="Q29" s="1163"/>
      <c r="R29" s="1064" t="str" cm="1">
        <f t="array" ref="R29">IF(Cdlac[[#This Row],[Quantity]]&gt;0,INDEX(HudFmrs,$P$18,Cdlac[[#This Row],[Bedrooms]]+1),"")</f>
        <v/>
      </c>
      <c r="S29" s="1064" t="str">
        <f>IF(Cdlac[[#This Row],[Quantity]]&gt;0,MAX(0,Cdlac[[#This Row],[Fair Market Rent]]-IF(AND($G$37,$G$38,$G$38&lt;&gt;"",NOT(Cdlac[[#This Row],[Federal]]),Cdlac[[#This Row],[Preservation Rent]]&lt;&gt;""),Cdlac[[#This Row],[Preservation Rent]],Cdlac[[#This Row],[Restricted Rent]])),"")</f>
        <v/>
      </c>
      <c r="T29" s="1043" t="str">
        <f>IF(Cdlac[[#This Row],[Quantity]]&gt;0,AND(Application!AK727&lt;&gt;"N/A",Application!AK727&lt;&gt;"")*Cdlac[[#This Row],[Quantity]],"")</f>
        <v/>
      </c>
      <c r="U29" s="1043" t="b">
        <f>AND('Subsidy Contract Calculation'!F13&gt;0,OR('Subsidy Contract Calculation'!C13="Federal",'Subsidy Contract Calculation'!C13="Local - Approved by ED"),Cdlac[[#This Row],[Quantity]]&gt;0)</f>
        <v>0</v>
      </c>
    </row>
    <row r="30" spans="1:21" ht="15" customHeight="1">
      <c r="A30" s="1073"/>
      <c r="C30" s="1073"/>
      <c r="D30" s="1073"/>
      <c r="E30" s="1073"/>
      <c r="F30" s="1073"/>
      <c r="G30" s="1073"/>
      <c r="H30" s="1073"/>
      <c r="I30" s="1073"/>
      <c r="L30" s="1043" t="str">
        <f>IFERROR(MIN(4,MATCH(Application!B728,UnitSizes,0)-1),"")</f>
        <v/>
      </c>
      <c r="M30" s="1064">
        <f>Application!G728</f>
        <v>0</v>
      </c>
      <c r="N30" s="1070">
        <f>Application!AC728</f>
        <v>0</v>
      </c>
      <c r="O30" s="1070" t="str">
        <f>IF(Cdlac[[#This Row],[Quantity]]&gt;0,IF(Cdlac[[#This Row],[Federal]],30%,IF(AND(OR(NOT($G$38),$G$38=""),$G$43),40%,Cdlac[[#This Row],[iAMI]])),"")</f>
        <v/>
      </c>
      <c r="P30" s="1064" t="str" cm="1">
        <f t="array" ref="P30">IF(Cdlac[[#This Row],[Quantity]]&gt;0,INDEX(TcacRents,$P$18,Cdlac[[#This Row],[Bedrooms]]+1)*Cdlac[[#This Row],[AMI]],"")</f>
        <v/>
      </c>
      <c r="Q30" s="1163"/>
      <c r="R30" s="1064" t="str" cm="1">
        <f t="array" ref="R30">IF(Cdlac[[#This Row],[Quantity]]&gt;0,INDEX(HudFmrs,$P$18,Cdlac[[#This Row],[Bedrooms]]+1),"")</f>
        <v/>
      </c>
      <c r="S30" s="1064" t="str">
        <f>IF(Cdlac[[#This Row],[Quantity]]&gt;0,MAX(0,Cdlac[[#This Row],[Fair Market Rent]]-IF(AND($G$37,$G$38,$G$38&lt;&gt;"",NOT(Cdlac[[#This Row],[Federal]]),Cdlac[[#This Row],[Preservation Rent]]&lt;&gt;""),Cdlac[[#This Row],[Preservation Rent]],Cdlac[[#This Row],[Restricted Rent]])),"")</f>
        <v/>
      </c>
      <c r="T30" s="1043" t="str">
        <f>IF(Cdlac[[#This Row],[Quantity]]&gt;0,AND(Application!AK728&lt;&gt;"N/A",Application!AK728&lt;&gt;"")*Cdlac[[#This Row],[Quantity]],"")</f>
        <v/>
      </c>
      <c r="U30" s="1043" t="b">
        <f>AND('Subsidy Contract Calculation'!F14&gt;0,OR('Subsidy Contract Calculation'!C14="Federal",'Subsidy Contract Calculation'!C14="Local - Approved by ED"),Cdlac[[#This Row],[Quantity]]&gt;0)</f>
        <v>0</v>
      </c>
    </row>
    <row r="31" spans="1:21" ht="15" customHeight="1">
      <c r="A31" s="1073"/>
      <c r="E31" s="1116" t="s">
        <v>1987</v>
      </c>
      <c r="G31" s="1113">
        <f>G29</f>
        <v>137</v>
      </c>
      <c r="H31" s="1073"/>
      <c r="I31" s="1073"/>
      <c r="L31" s="1043" t="str">
        <f>IFERROR(MIN(4,MATCH(Application!B729,UnitSizes,0)-1),"")</f>
        <v/>
      </c>
      <c r="M31" s="1064">
        <f>Application!G729</f>
        <v>0</v>
      </c>
      <c r="N31" s="1070">
        <f>Application!AC729</f>
        <v>0</v>
      </c>
      <c r="O31" s="1070" t="str">
        <f>IF(Cdlac[[#This Row],[Quantity]]&gt;0,IF(Cdlac[[#This Row],[Federal]],30%,IF(AND(OR(NOT($G$38),$G$38=""),$G$43),40%,Cdlac[[#This Row],[iAMI]])),"")</f>
        <v/>
      </c>
      <c r="P31" s="1064" t="str" cm="1">
        <f t="array" ref="P31">IF(Cdlac[[#This Row],[Quantity]]&gt;0,INDEX(TcacRents,$P$18,Cdlac[[#This Row],[Bedrooms]]+1)*Cdlac[[#This Row],[AMI]],"")</f>
        <v/>
      </c>
      <c r="Q31" s="1163"/>
      <c r="R31" s="1064" t="str" cm="1">
        <f t="array" ref="R31">IF(Cdlac[[#This Row],[Quantity]]&gt;0,INDEX(HudFmrs,$P$18,Cdlac[[#This Row],[Bedrooms]]+1),"")</f>
        <v/>
      </c>
      <c r="S31" s="1064" t="str">
        <f>IF(Cdlac[[#This Row],[Quantity]]&gt;0,MAX(0,Cdlac[[#This Row],[Fair Market Rent]]-IF(AND($G$37,$G$38,$G$38&lt;&gt;"",NOT(Cdlac[[#This Row],[Federal]]),Cdlac[[#This Row],[Preservation Rent]]&lt;&gt;""),Cdlac[[#This Row],[Preservation Rent]],Cdlac[[#This Row],[Restricted Rent]])),"")</f>
        <v/>
      </c>
      <c r="T31" s="1043" t="str">
        <f>IF(Cdlac[[#This Row],[Quantity]]&gt;0,AND(Application!AK729&lt;&gt;"N/A",Application!AK729&lt;&gt;"")*Cdlac[[#This Row],[Quantity]],"")</f>
        <v/>
      </c>
      <c r="U31" s="1043" t="b">
        <f>AND('Subsidy Contract Calculation'!F15&gt;0,OR('Subsidy Contract Calculation'!C15="Federal",'Subsidy Contract Calculation'!C15="Local - Approved by ED"),Cdlac[[#This Row],[Quantity]]&gt;0)</f>
        <v>0</v>
      </c>
    </row>
    <row r="32" spans="1:21" ht="15" customHeight="1">
      <c r="A32" s="1073"/>
      <c r="E32" s="1116" t="s">
        <v>1946</v>
      </c>
      <c r="F32" s="1112" t="s">
        <v>1994</v>
      </c>
      <c r="G32" s="1114">
        <v>50000</v>
      </c>
      <c r="H32" s="1073"/>
      <c r="I32" s="1073"/>
      <c r="L32" s="1043" t="str">
        <f>IFERROR(MIN(4,MATCH(Application!B730,UnitSizes,0)-1),"")</f>
        <v/>
      </c>
      <c r="M32" s="1064">
        <f>Application!G730</f>
        <v>0</v>
      </c>
      <c r="N32" s="1070">
        <f>Application!AC730</f>
        <v>0</v>
      </c>
      <c r="O32" s="1070" t="str">
        <f>IF(Cdlac[[#This Row],[Quantity]]&gt;0,IF(Cdlac[[#This Row],[Federal]],30%,IF(AND(OR(NOT($G$38),$G$38=""),$G$43),40%,Cdlac[[#This Row],[iAMI]])),"")</f>
        <v/>
      </c>
      <c r="P32" s="1064" t="str" cm="1">
        <f t="array" ref="P32">IF(Cdlac[[#This Row],[Quantity]]&gt;0,INDEX(TcacRents,$P$18,Cdlac[[#This Row],[Bedrooms]]+1)*Cdlac[[#This Row],[AMI]],"")</f>
        <v/>
      </c>
      <c r="Q32" s="1163"/>
      <c r="R32" s="1064" t="str" cm="1">
        <f t="array" ref="R32">IF(Cdlac[[#This Row],[Quantity]]&gt;0,INDEX(HudFmrs,$P$18,Cdlac[[#This Row],[Bedrooms]]+1),"")</f>
        <v/>
      </c>
      <c r="S32" s="1064" t="str">
        <f>IF(Cdlac[[#This Row],[Quantity]]&gt;0,MAX(0,Cdlac[[#This Row],[Fair Market Rent]]-IF(AND($G$37,$G$38,$G$38&lt;&gt;"",NOT(Cdlac[[#This Row],[Federal]]),Cdlac[[#This Row],[Preservation Rent]]&lt;&gt;""),Cdlac[[#This Row],[Preservation Rent]],Cdlac[[#This Row],[Restricted Rent]])),"")</f>
        <v/>
      </c>
      <c r="T32" s="1043" t="str">
        <f>IF(Cdlac[[#This Row],[Quantity]]&gt;0,AND(Application!AK730&lt;&gt;"N/A",Application!AK730&lt;&gt;"")*Cdlac[[#This Row],[Quantity]],"")</f>
        <v/>
      </c>
      <c r="U32" s="1043" t="b">
        <f>AND('Subsidy Contract Calculation'!F16&gt;0,OR('Subsidy Contract Calculation'!C16="Federal",'Subsidy Contract Calculation'!C16="Local - Approved by ED"),Cdlac[[#This Row],[Quantity]]&gt;0)</f>
        <v>0</v>
      </c>
    </row>
    <row r="33" spans="1:21" ht="15" customHeight="1">
      <c r="A33" s="1073"/>
      <c r="E33" s="1117" t="s">
        <v>1980</v>
      </c>
      <c r="F33" s="1045"/>
      <c r="G33" s="1118">
        <f>G32*G31</f>
        <v>6850000</v>
      </c>
      <c r="H33" s="1073"/>
      <c r="I33" s="1073"/>
      <c r="L33" s="1043" t="str">
        <f>IFERROR(MIN(4,MATCH(Application!B731,UnitSizes,0)-1),"")</f>
        <v/>
      </c>
      <c r="M33" s="1064">
        <f>Application!G731</f>
        <v>0</v>
      </c>
      <c r="N33" s="1070">
        <f>Application!AC731</f>
        <v>0</v>
      </c>
      <c r="O33" s="1070" t="str">
        <f>IF(Cdlac[[#This Row],[Quantity]]&gt;0,IF(Cdlac[[#This Row],[Federal]],30%,IF(AND(OR(NOT($G$38),$G$38=""),$G$43),40%,Cdlac[[#This Row],[iAMI]])),"")</f>
        <v/>
      </c>
      <c r="P33" s="1064" t="str" cm="1">
        <f t="array" ref="P33">IF(Cdlac[[#This Row],[Quantity]]&gt;0,INDEX(TcacRents,$P$18,Cdlac[[#This Row],[Bedrooms]]+1)*Cdlac[[#This Row],[AMI]],"")</f>
        <v/>
      </c>
      <c r="Q33" s="1163"/>
      <c r="R33" s="1064" t="str" cm="1">
        <f t="array" ref="R33">IF(Cdlac[[#This Row],[Quantity]]&gt;0,INDEX(HudFmrs,$P$18,Cdlac[[#This Row],[Bedrooms]]+1),"")</f>
        <v/>
      </c>
      <c r="S33" s="1064" t="str">
        <f>IF(Cdlac[[#This Row],[Quantity]]&gt;0,MAX(0,Cdlac[[#This Row],[Fair Market Rent]]-IF(AND($G$37,$G$38,$G$38&lt;&gt;"",NOT(Cdlac[[#This Row],[Federal]]),Cdlac[[#This Row],[Preservation Rent]]&lt;&gt;""),Cdlac[[#This Row],[Preservation Rent]],Cdlac[[#This Row],[Restricted Rent]])),"")</f>
        <v/>
      </c>
      <c r="T33" s="1043" t="str">
        <f>IF(Cdlac[[#This Row],[Quantity]]&gt;0,AND(Application!AK731&lt;&gt;"N/A",Application!AK731&lt;&gt;"")*Cdlac[[#This Row],[Quantity]],"")</f>
        <v/>
      </c>
      <c r="U33" s="1043" t="b">
        <f>AND('Subsidy Contract Calculation'!F17&gt;0,OR('Subsidy Contract Calculation'!C17="Federal",'Subsidy Contract Calculation'!C17="Local - Approved by ED"),Cdlac[[#This Row],[Quantity]]&gt;0)</f>
        <v>0</v>
      </c>
    </row>
    <row r="34" spans="1:21" ht="15" customHeight="1">
      <c r="A34" s="1073"/>
      <c r="B34" s="1073"/>
      <c r="C34" s="1073"/>
      <c r="D34" s="1073"/>
      <c r="E34" s="1073"/>
      <c r="F34" s="1073"/>
      <c r="G34" s="1073"/>
      <c r="H34" s="1073"/>
      <c r="I34" s="1073"/>
      <c r="L34" s="1043" t="str">
        <f>IFERROR(MIN(4,MATCH(Application!B732,UnitSizes,0)-1),"")</f>
        <v/>
      </c>
      <c r="M34" s="1064">
        <f>Application!G732</f>
        <v>0</v>
      </c>
      <c r="N34" s="1070">
        <f>Application!AC732</f>
        <v>0</v>
      </c>
      <c r="O34" s="1070" t="str">
        <f>IF(Cdlac[[#This Row],[Quantity]]&gt;0,IF(Cdlac[[#This Row],[Federal]],30%,IF(AND(OR(NOT($G$38),$G$38=""),$G$43),40%,Cdlac[[#This Row],[iAMI]])),"")</f>
        <v/>
      </c>
      <c r="P34" s="1064" t="str" cm="1">
        <f t="array" ref="P34">IF(Cdlac[[#This Row],[Quantity]]&gt;0,INDEX(TcacRents,$P$18,Cdlac[[#This Row],[Bedrooms]]+1)*Cdlac[[#This Row],[AMI]],"")</f>
        <v/>
      </c>
      <c r="Q34" s="1163"/>
      <c r="R34" s="1064" t="str" cm="1">
        <f t="array" ref="R34">IF(Cdlac[[#This Row],[Quantity]]&gt;0,INDEX(HudFmrs,$P$18,Cdlac[[#This Row],[Bedrooms]]+1),"")</f>
        <v/>
      </c>
      <c r="S34" s="1064" t="str">
        <f>IF(Cdlac[[#This Row],[Quantity]]&gt;0,MAX(0,Cdlac[[#This Row],[Fair Market Rent]]-IF(AND($G$37,$G$38,$G$38&lt;&gt;"",NOT(Cdlac[[#This Row],[Federal]]),Cdlac[[#This Row],[Preservation Rent]]&lt;&gt;""),Cdlac[[#This Row],[Preservation Rent]],Cdlac[[#This Row],[Restricted Rent]])),"")</f>
        <v/>
      </c>
      <c r="T34" s="1043" t="str">
        <f>IF(Cdlac[[#This Row],[Quantity]]&gt;0,AND(Application!AK732&lt;&gt;"N/A",Application!AK732&lt;&gt;"")*Cdlac[[#This Row],[Quantity]],"")</f>
        <v/>
      </c>
      <c r="U34" s="1043" t="b">
        <f>AND('Subsidy Contract Calculation'!F18&gt;0,OR('Subsidy Contract Calculation'!C18="Federal",'Subsidy Contract Calculation'!C18="Local - Approved by ED"),Cdlac[[#This Row],[Quantity]]&gt;0)</f>
        <v>0</v>
      </c>
    </row>
    <row r="35" spans="1:21" ht="15" customHeight="1">
      <c r="B35" s="1065" t="str">
        <f>B10</f>
        <v>B. Rent Savings Benefit</v>
      </c>
      <c r="C35" s="1066"/>
      <c r="D35" s="1066"/>
      <c r="E35" s="1066"/>
      <c r="F35" s="1066"/>
      <c r="G35" s="1066"/>
      <c r="H35" s="1066"/>
      <c r="I35" s="1067"/>
      <c r="L35" s="1043" t="str">
        <f>IFERROR(MIN(4,MATCH(Application!B733,UnitSizes,0)-1),"")</f>
        <v/>
      </c>
      <c r="M35" s="1064">
        <f>Application!G733</f>
        <v>0</v>
      </c>
      <c r="N35" s="1070">
        <f>Application!AC733</f>
        <v>0</v>
      </c>
      <c r="O35" s="1070" t="str">
        <f>IF(Cdlac[[#This Row],[Quantity]]&gt;0,IF(Cdlac[[#This Row],[Federal]],30%,IF(AND(OR(NOT($G$38),$G$38=""),$G$43),40%,Cdlac[[#This Row],[iAMI]])),"")</f>
        <v/>
      </c>
      <c r="P35" s="1064" t="str" cm="1">
        <f t="array" ref="P35">IF(Cdlac[[#This Row],[Quantity]]&gt;0,INDEX(TcacRents,$P$18,Cdlac[[#This Row],[Bedrooms]]+1)*Cdlac[[#This Row],[AMI]],"")</f>
        <v/>
      </c>
      <c r="Q35" s="1163"/>
      <c r="R35" s="1064" t="str" cm="1">
        <f t="array" ref="R35">IF(Cdlac[[#This Row],[Quantity]]&gt;0,INDEX(HudFmrs,$P$18,Cdlac[[#This Row],[Bedrooms]]+1),"")</f>
        <v/>
      </c>
      <c r="S35" s="1064" t="str">
        <f>IF(Cdlac[[#This Row],[Quantity]]&gt;0,MAX(0,Cdlac[[#This Row],[Fair Market Rent]]-IF(AND($G$37,$G$38,$G$38&lt;&gt;"",NOT(Cdlac[[#This Row],[Federal]]),Cdlac[[#This Row],[Preservation Rent]]&lt;&gt;""),Cdlac[[#This Row],[Preservation Rent]],Cdlac[[#This Row],[Restricted Rent]])),"")</f>
        <v/>
      </c>
      <c r="T35" s="1043" t="str">
        <f>IF(Cdlac[[#This Row],[Quantity]]&gt;0,AND(Application!AK733&lt;&gt;"N/A",Application!AK733&lt;&gt;"")*Cdlac[[#This Row],[Quantity]],"")</f>
        <v/>
      </c>
      <c r="U35" s="1043" t="b">
        <f>AND('Subsidy Contract Calculation'!F19&gt;0,OR('Subsidy Contract Calculation'!C19="Federal",'Subsidy Contract Calculation'!C19="Local - Approved by ED"),Cdlac[[#This Row],[Quantity]]&gt;0)</f>
        <v>0</v>
      </c>
    </row>
    <row r="36" spans="1:21" ht="15" customHeight="1">
      <c r="L36" s="1043" t="str">
        <f>IFERROR(MIN(4,MATCH(Application!B734,UnitSizes,0)-1),"")</f>
        <v/>
      </c>
      <c r="M36" s="1064">
        <f>Application!G734</f>
        <v>0</v>
      </c>
      <c r="N36" s="1070">
        <f>Application!AC734</f>
        <v>0</v>
      </c>
      <c r="O36" s="1070" t="str">
        <f>IF(Cdlac[[#This Row],[Quantity]]&gt;0,IF(Cdlac[[#This Row],[Federal]],30%,IF(AND(OR(NOT($G$38),$G$38=""),$G$43),40%,Cdlac[[#This Row],[iAMI]])),"")</f>
        <v/>
      </c>
      <c r="P36" s="1064" t="str" cm="1">
        <f t="array" ref="P36">IF(Cdlac[[#This Row],[Quantity]]&gt;0,INDEX(TcacRents,$P$18,Cdlac[[#This Row],[Bedrooms]]+1)*Cdlac[[#This Row],[AMI]],"")</f>
        <v/>
      </c>
      <c r="Q36" s="1163"/>
      <c r="R36" s="1064" t="str" cm="1">
        <f t="array" ref="R36">IF(Cdlac[[#This Row],[Quantity]]&gt;0,INDEX(HudFmrs,$P$18,Cdlac[[#This Row],[Bedrooms]]+1),"")</f>
        <v/>
      </c>
      <c r="S36" s="1064" t="str">
        <f>IF(Cdlac[[#This Row],[Quantity]]&gt;0,MAX(0,Cdlac[[#This Row],[Fair Market Rent]]-IF(AND($G$37,$G$38,$G$38&lt;&gt;"",NOT(Cdlac[[#This Row],[Federal]]),Cdlac[[#This Row],[Preservation Rent]]&lt;&gt;""),Cdlac[[#This Row],[Preservation Rent]],Cdlac[[#This Row],[Restricted Rent]])),"")</f>
        <v/>
      </c>
      <c r="T36" s="1043" t="str">
        <f>IF(Cdlac[[#This Row],[Quantity]]&gt;0,AND(Application!AK734&lt;&gt;"N/A",Application!AK734&lt;&gt;"")*Cdlac[[#This Row],[Quantity]],"")</f>
        <v/>
      </c>
      <c r="U36" s="1043" t="b">
        <f>AND('Subsidy Contract Calculation'!F20&gt;0,OR('Subsidy Contract Calculation'!C20="Federal",'Subsidy Contract Calculation'!C20="Local - Approved by ED"),Cdlac[[#This Row],[Quantity]]&gt;0)</f>
        <v>0</v>
      </c>
    </row>
    <row r="37" spans="1:21" ht="15" customHeight="1">
      <c r="E37" s="1083" t="s">
        <v>2261</v>
      </c>
      <c r="G37" s="1043" t="b">
        <f>OR('Points System'!B13="Yes",'Points System'!B16="Yes",'Points System'!B22="Yes",'Points System'!B25="Yes",'Points System'!B28="Yes",'Points System'!B33="Yes",'Points System'!B36="Yes",'Points System'!B40="Yes",'Points System'!B45="Yes")</f>
        <v>0</v>
      </c>
      <c r="L37" s="1043" t="str">
        <f>IFERROR(MIN(4,MATCH(Application!B735,UnitSizes,0)-1),"")</f>
        <v/>
      </c>
      <c r="M37" s="1064">
        <f>Application!G735</f>
        <v>0</v>
      </c>
      <c r="N37" s="1070">
        <f>Application!AC735</f>
        <v>0</v>
      </c>
      <c r="O37" s="1070" t="str">
        <f>IF(Cdlac[[#This Row],[Quantity]]&gt;0,IF(Cdlac[[#This Row],[Federal]],30%,IF(AND(OR(NOT($G$38),$G$38=""),$G$43),40%,Cdlac[[#This Row],[iAMI]])),"")</f>
        <v/>
      </c>
      <c r="P37" s="1064" t="str" cm="1">
        <f t="array" ref="P37">IF(Cdlac[[#This Row],[Quantity]]&gt;0,INDEX(TcacRents,$P$18,Cdlac[[#This Row],[Bedrooms]]+1)*Cdlac[[#This Row],[AMI]],"")</f>
        <v/>
      </c>
      <c r="Q37" s="1163"/>
      <c r="R37" s="1064" t="str" cm="1">
        <f t="array" ref="R37">IF(Cdlac[[#This Row],[Quantity]]&gt;0,INDEX(HudFmrs,$P$18,Cdlac[[#This Row],[Bedrooms]]+1),"")</f>
        <v/>
      </c>
      <c r="S37" s="1064" t="str">
        <f>IF(Cdlac[[#This Row],[Quantity]]&gt;0,MAX(0,Cdlac[[#This Row],[Fair Market Rent]]-IF(AND($G$37,$G$38,$G$38&lt;&gt;"",NOT(Cdlac[[#This Row],[Federal]]),Cdlac[[#This Row],[Preservation Rent]]&lt;&gt;""),Cdlac[[#This Row],[Preservation Rent]],Cdlac[[#This Row],[Restricted Rent]])),"")</f>
        <v/>
      </c>
      <c r="T37" s="1043" t="str">
        <f>IF(Cdlac[[#This Row],[Quantity]]&gt;0,AND(Application!AK735&lt;&gt;"N/A",Application!AK735&lt;&gt;"")*Cdlac[[#This Row],[Quantity]],"")</f>
        <v/>
      </c>
      <c r="U37" s="1043" t="b">
        <f>AND('Subsidy Contract Calculation'!F21&gt;0,OR('Subsidy Contract Calculation'!C21="Federal",'Subsidy Contract Calculation'!C21="Local - Approved by ED"),Cdlac[[#This Row],[Quantity]]&gt;0)</f>
        <v>0</v>
      </c>
    </row>
    <row r="38" spans="1:21" ht="15" customHeight="1">
      <c r="E38" s="1083" t="s">
        <v>2262</v>
      </c>
      <c r="G38" s="1162"/>
      <c r="L38" s="1043" t="str">
        <f>IFERROR(MIN(4,MATCH(Application!B736,UnitSizes,0)-1),"")</f>
        <v/>
      </c>
      <c r="M38" s="1064">
        <f>Application!G736</f>
        <v>0</v>
      </c>
      <c r="N38" s="1070">
        <f>Application!AC736</f>
        <v>0</v>
      </c>
      <c r="O38" s="1070" t="str">
        <f>IF(Cdlac[[#This Row],[Quantity]]&gt;0,IF(Cdlac[[#This Row],[Federal]],30%,IF(AND(OR(NOT($G$38),$G$38=""),$G$43),40%,Cdlac[[#This Row],[iAMI]])),"")</f>
        <v/>
      </c>
      <c r="P38" s="1064" t="str" cm="1">
        <f t="array" ref="P38">IF(Cdlac[[#This Row],[Quantity]]&gt;0,INDEX(TcacRents,$P$18,Cdlac[[#This Row],[Bedrooms]]+1)*Cdlac[[#This Row],[AMI]],"")</f>
        <v/>
      </c>
      <c r="Q38" s="1163"/>
      <c r="R38" s="1064" t="str" cm="1">
        <f t="array" ref="R38">IF(Cdlac[[#This Row],[Quantity]]&gt;0,INDEX(HudFmrs,$P$18,Cdlac[[#This Row],[Bedrooms]]+1),"")</f>
        <v/>
      </c>
      <c r="S38" s="1064" t="str">
        <f>IF(Cdlac[[#This Row],[Quantity]]&gt;0,MAX(0,Cdlac[[#This Row],[Fair Market Rent]]-IF(AND($G$37,$G$38,$G$38&lt;&gt;"",NOT(Cdlac[[#This Row],[Federal]]),Cdlac[[#This Row],[Preservation Rent]]&lt;&gt;""),Cdlac[[#This Row],[Preservation Rent]],Cdlac[[#This Row],[Restricted Rent]])),"")</f>
        <v/>
      </c>
      <c r="T38" s="1043" t="str">
        <f>IF(Cdlac[[#This Row],[Quantity]]&gt;0,AND(Application!AK736&lt;&gt;"N/A",Application!AK736&lt;&gt;"")*Cdlac[[#This Row],[Quantity]],"")</f>
        <v/>
      </c>
      <c r="U38" s="1043" t="b">
        <f>AND('Subsidy Contract Calculation'!F22&gt;0,OR('Subsidy Contract Calculation'!C22="Federal",'Subsidy Contract Calculation'!C22="Local - Approved by ED"),Cdlac[[#This Row],[Quantity]]&gt;0)</f>
        <v>0</v>
      </c>
    </row>
    <row r="39" spans="1:21" ht="15" customHeight="1">
      <c r="C39" s="2697" t="str">
        <f>IF(AND(G37,G38,G38&lt;&gt;""),"Enter the average rent charged for each unit type over the last three years, as documented with rent rolls or property audits, in cells Q20:Q44","")</f>
        <v/>
      </c>
      <c r="D39" s="2697"/>
      <c r="E39" s="2697"/>
      <c r="F39" s="2697"/>
      <c r="G39" s="2697"/>
      <c r="H39" s="2697"/>
      <c r="L39" s="1043" t="str">
        <f>IFERROR(MIN(4,MATCH(Application!B737,UnitSizes,0)-1),"")</f>
        <v/>
      </c>
      <c r="M39" s="1064">
        <f>Application!G737</f>
        <v>0</v>
      </c>
      <c r="N39" s="1070">
        <f>Application!AC737</f>
        <v>0</v>
      </c>
      <c r="O39" s="1070" t="str">
        <f>IF(Cdlac[[#This Row],[Quantity]]&gt;0,IF(Cdlac[[#This Row],[Federal]],30%,IF(AND(OR(NOT($G$38),$G$38=""),$G$43),40%,Cdlac[[#This Row],[iAMI]])),"")</f>
        <v/>
      </c>
      <c r="P39" s="1064" t="str" cm="1">
        <f t="array" ref="P39">IF(Cdlac[[#This Row],[Quantity]]&gt;0,INDEX(TcacRents,$P$18,Cdlac[[#This Row],[Bedrooms]]+1)*Cdlac[[#This Row],[AMI]],"")</f>
        <v/>
      </c>
      <c r="Q39" s="1163"/>
      <c r="R39" s="1064" t="str" cm="1">
        <f t="array" ref="R39">IF(Cdlac[[#This Row],[Quantity]]&gt;0,INDEX(HudFmrs,$P$18,Cdlac[[#This Row],[Bedrooms]]+1),"")</f>
        <v/>
      </c>
      <c r="S39" s="1064" t="str">
        <f>IF(Cdlac[[#This Row],[Quantity]]&gt;0,MAX(0,Cdlac[[#This Row],[Fair Market Rent]]-IF(AND($G$37,$G$38,$G$38&lt;&gt;"",NOT(Cdlac[[#This Row],[Federal]]),Cdlac[[#This Row],[Preservation Rent]]&lt;&gt;""),Cdlac[[#This Row],[Preservation Rent]],Cdlac[[#This Row],[Restricted Rent]])),"")</f>
        <v/>
      </c>
      <c r="T39" s="1043" t="str">
        <f>IF(Cdlac[[#This Row],[Quantity]]&gt;0,AND(Application!AK737&lt;&gt;"N/A",Application!AK737&lt;&gt;"")*Cdlac[[#This Row],[Quantity]],"")</f>
        <v/>
      </c>
      <c r="U39" s="1043" t="b">
        <f>AND('Subsidy Contract Calculation'!F23&gt;0,OR('Subsidy Contract Calculation'!C23="Federal",'Subsidy Contract Calculation'!C23="Local - Approved by ED"),Cdlac[[#This Row],[Quantity]]&gt;0)</f>
        <v>0</v>
      </c>
    </row>
    <row r="40" spans="1:21" ht="15" customHeight="1">
      <c r="C40" s="2697"/>
      <c r="D40" s="2697"/>
      <c r="E40" s="2697"/>
      <c r="F40" s="2697"/>
      <c r="G40" s="2697"/>
      <c r="H40" s="2697"/>
      <c r="L40" s="1043" t="str">
        <f>IFERROR(MIN(4,MATCH(Application!B738,UnitSizes,0)-1),"")</f>
        <v/>
      </c>
      <c r="M40" s="1064">
        <f>Application!G738</f>
        <v>0</v>
      </c>
      <c r="N40" s="1070">
        <f>Application!AC738</f>
        <v>0</v>
      </c>
      <c r="O40" s="1070" t="str">
        <f>IF(Cdlac[[#This Row],[Quantity]]&gt;0,IF(Cdlac[[#This Row],[Federal]],30%,IF(AND(OR(NOT($G$38),$G$38=""),$G$43),40%,Cdlac[[#This Row],[iAMI]])),"")</f>
        <v/>
      </c>
      <c r="P40" s="1064" t="str" cm="1">
        <f t="array" ref="P40">IF(Cdlac[[#This Row],[Quantity]]&gt;0,INDEX(TcacRents,$P$18,Cdlac[[#This Row],[Bedrooms]]+1)*Cdlac[[#This Row],[AMI]],"")</f>
        <v/>
      </c>
      <c r="Q40" s="1163"/>
      <c r="R40" s="1064" t="str" cm="1">
        <f t="array" ref="R40">IF(Cdlac[[#This Row],[Quantity]]&gt;0,INDEX(HudFmrs,$P$18,Cdlac[[#This Row],[Bedrooms]]+1),"")</f>
        <v/>
      </c>
      <c r="S40" s="1064" t="str">
        <f>IF(Cdlac[[#This Row],[Quantity]]&gt;0,MAX(0,Cdlac[[#This Row],[Fair Market Rent]]-IF(AND($G$37,$G$38,$G$38&lt;&gt;"",NOT(Cdlac[[#This Row],[Federal]]),Cdlac[[#This Row],[Preservation Rent]]&lt;&gt;""),Cdlac[[#This Row],[Preservation Rent]],Cdlac[[#This Row],[Restricted Rent]])),"")</f>
        <v/>
      </c>
      <c r="T40" s="1043" t="str">
        <f>IF(Cdlac[[#This Row],[Quantity]]&gt;0,AND(Application!AK738&lt;&gt;"N/A",Application!AK738&lt;&gt;"")*Cdlac[[#This Row],[Quantity]],"")</f>
        <v/>
      </c>
      <c r="U40" s="1043" t="b">
        <f>AND('Subsidy Contract Calculation'!F24&gt;0,OR('Subsidy Contract Calculation'!C24="Federal",'Subsidy Contract Calculation'!C24="Local - Approved by ED"),Cdlac[[#This Row],[Quantity]]&gt;0)</f>
        <v>0</v>
      </c>
    </row>
    <row r="41" spans="1:21" ht="15" customHeight="1">
      <c r="C41" s="2697"/>
      <c r="D41" s="2697"/>
      <c r="E41" s="2697"/>
      <c r="F41" s="2697"/>
      <c r="G41" s="2697"/>
      <c r="H41" s="2697"/>
      <c r="L41" s="1043" t="str">
        <f>IFERROR(MIN(4,MATCH(Application!B739,UnitSizes,0)-1),"")</f>
        <v/>
      </c>
      <c r="M41" s="1064">
        <f>Application!G739</f>
        <v>0</v>
      </c>
      <c r="N41" s="1070">
        <f>Application!AC739</f>
        <v>0</v>
      </c>
      <c r="O41" s="1070" t="str">
        <f>IF(Cdlac[[#This Row],[Quantity]]&gt;0,IF(Cdlac[[#This Row],[Federal]],30%,IF(AND(OR(NOT($G$38),$G$38=""),$G$43),40%,Cdlac[[#This Row],[iAMI]])),"")</f>
        <v/>
      </c>
      <c r="P41" s="1064" t="str" cm="1">
        <f t="array" ref="P41">IF(Cdlac[[#This Row],[Quantity]]&gt;0,INDEX(TcacRents,$P$18,Cdlac[[#This Row],[Bedrooms]]+1)*Cdlac[[#This Row],[AMI]],"")</f>
        <v/>
      </c>
      <c r="Q41" s="1163"/>
      <c r="R41" s="1064" t="str" cm="1">
        <f t="array" ref="R41">IF(Cdlac[[#This Row],[Quantity]]&gt;0,INDEX(HudFmrs,$P$18,Cdlac[[#This Row],[Bedrooms]]+1),"")</f>
        <v/>
      </c>
      <c r="S41" s="1064" t="str">
        <f>IF(Cdlac[[#This Row],[Quantity]]&gt;0,MAX(0,Cdlac[[#This Row],[Fair Market Rent]]-IF(AND($G$37,$G$38,$G$38&lt;&gt;"",NOT(Cdlac[[#This Row],[Federal]]),Cdlac[[#This Row],[Preservation Rent]]&lt;&gt;""),Cdlac[[#This Row],[Preservation Rent]],Cdlac[[#This Row],[Restricted Rent]])),"")</f>
        <v/>
      </c>
      <c r="T41" s="1043" t="str">
        <f>IF(Cdlac[[#This Row],[Quantity]]&gt;0,AND(Application!AK739&lt;&gt;"N/A",Application!AK739&lt;&gt;"")*Cdlac[[#This Row],[Quantity]],"")</f>
        <v/>
      </c>
      <c r="U41" s="1043" t="b">
        <f>AND('Subsidy Contract Calculation'!F25&gt;0,OR('Subsidy Contract Calculation'!C25="Federal",'Subsidy Contract Calculation'!C25="Local - Approved by ED"),Cdlac[[#This Row],[Quantity]]&gt;0)</f>
        <v>0</v>
      </c>
    </row>
    <row r="42" spans="1:21" ht="15" customHeight="1">
      <c r="E42" s="1083" t="s">
        <v>2005</v>
      </c>
      <c r="G42" s="1119" cm="1">
        <f t="array" ref="G42">SUMPRODUCT(Cdlac[Quantity],Cdlac[iAMI],IF(Cdlac[Federal],0,1))/SUMIFS(Cdlac[Quantity],Cdlac[Federal],FALSE)</f>
        <v>0.6</v>
      </c>
      <c r="L42" s="1043" t="str">
        <f>IFERROR(MIN(4,MATCH(Application!B740,UnitSizes,0)-1),"")</f>
        <v/>
      </c>
      <c r="M42" s="1064">
        <f>Application!G740</f>
        <v>0</v>
      </c>
      <c r="N42" s="1070">
        <f>Application!AC740</f>
        <v>0</v>
      </c>
      <c r="O42" s="1070" t="str">
        <f>IF(Cdlac[[#This Row],[Quantity]]&gt;0,IF(Cdlac[[#This Row],[Federal]],30%,IF(AND(OR(NOT($G$38),$G$38=""),$G$43),40%,Cdlac[[#This Row],[iAMI]])),"")</f>
        <v/>
      </c>
      <c r="P42" s="1064" t="str" cm="1">
        <f t="array" ref="P42">IF(Cdlac[[#This Row],[Quantity]]&gt;0,INDEX(TcacRents,$P$18,Cdlac[[#This Row],[Bedrooms]]+1)*Cdlac[[#This Row],[AMI]],"")</f>
        <v/>
      </c>
      <c r="Q42" s="1163"/>
      <c r="R42" s="1064" t="str" cm="1">
        <f t="array" ref="R42">IF(Cdlac[[#This Row],[Quantity]]&gt;0,INDEX(HudFmrs,$P$18,Cdlac[[#This Row],[Bedrooms]]+1),"")</f>
        <v/>
      </c>
      <c r="S42" s="1064" t="str">
        <f>IF(Cdlac[[#This Row],[Quantity]]&gt;0,MAX(0,Cdlac[[#This Row],[Fair Market Rent]]-IF(AND($G$37,$G$38,$G$38&lt;&gt;"",NOT(Cdlac[[#This Row],[Federal]]),Cdlac[[#This Row],[Preservation Rent]]&lt;&gt;""),Cdlac[[#This Row],[Preservation Rent]],Cdlac[[#This Row],[Restricted Rent]])),"")</f>
        <v/>
      </c>
      <c r="T42" s="1043" t="str">
        <f>IF(Cdlac[[#This Row],[Quantity]]&gt;0,AND(Application!AK740&lt;&gt;"N/A",Application!AK740&lt;&gt;"")*Cdlac[[#This Row],[Quantity]],"")</f>
        <v/>
      </c>
      <c r="U42" s="1043" t="b">
        <f>AND('Subsidy Contract Calculation'!F26&gt;0,OR('Subsidy Contract Calculation'!C26="Federal",'Subsidy Contract Calculation'!C26="Local - Approved by ED"),Cdlac[[#This Row],[Quantity]]&gt;0)</f>
        <v>0</v>
      </c>
    </row>
    <row r="43" spans="1:21" ht="15" customHeight="1">
      <c r="E43" s="1083" t="s">
        <v>2000</v>
      </c>
      <c r="G43" s="1080" t="b">
        <f>G42&lt;40%</f>
        <v>0</v>
      </c>
      <c r="L43" s="1043" t="str">
        <f>IFERROR(MIN(4,MATCH(Application!B741,UnitSizes,0)-1),"")</f>
        <v/>
      </c>
      <c r="M43" s="1064">
        <f>Application!G741</f>
        <v>0</v>
      </c>
      <c r="N43" s="1070">
        <f>Application!AC741</f>
        <v>0</v>
      </c>
      <c r="O43" s="1070" t="str">
        <f>IF(Cdlac[[#This Row],[Quantity]]&gt;0,IF(Cdlac[[#This Row],[Federal]],30%,IF(AND(OR(NOT($G$38),$G$38=""),$G$43),40%,Cdlac[[#This Row],[iAMI]])),"")</f>
        <v/>
      </c>
      <c r="P43" s="1064" t="str" cm="1">
        <f t="array" ref="P43">IF(Cdlac[[#This Row],[Quantity]]&gt;0,INDEX(TcacRents,$P$18,Cdlac[[#This Row],[Bedrooms]]+1)*Cdlac[[#This Row],[AMI]],"")</f>
        <v/>
      </c>
      <c r="Q43" s="1163"/>
      <c r="R43" s="1064" t="str" cm="1">
        <f t="array" ref="R43">IF(Cdlac[[#This Row],[Quantity]]&gt;0,INDEX(HudFmrs,$P$18,Cdlac[[#This Row],[Bedrooms]]+1),"")</f>
        <v/>
      </c>
      <c r="S43" s="1064" t="str">
        <f>IF(Cdlac[[#This Row],[Quantity]]&gt;0,MAX(0,Cdlac[[#This Row],[Fair Market Rent]]-IF(AND($G$37,$G$38,$G$38&lt;&gt;"",NOT(Cdlac[[#This Row],[Federal]]),Cdlac[[#This Row],[Preservation Rent]]&lt;&gt;""),Cdlac[[#This Row],[Preservation Rent]],Cdlac[[#This Row],[Restricted Rent]])),"")</f>
        <v/>
      </c>
      <c r="T43" s="1043" t="str">
        <f>IF(Cdlac[[#This Row],[Quantity]]&gt;0,AND(Application!AK741&lt;&gt;"N/A",Application!AK741&lt;&gt;"")*Cdlac[[#This Row],[Quantity]],"")</f>
        <v/>
      </c>
      <c r="U43" s="1043" t="b">
        <f>AND('Subsidy Contract Calculation'!F27&gt;0,OR('Subsidy Contract Calculation'!C27="Federal",'Subsidy Contract Calculation'!C27="Local - Approved by ED"),Cdlac[[#This Row],[Quantity]]&gt;0)</f>
        <v>0</v>
      </c>
    </row>
    <row r="44" spans="1:21" ht="15" customHeight="1">
      <c r="L44" s="1043" t="str">
        <f>IFERROR(MIN(4,MATCH(Application!B742,UnitSizes,0)-1),"")</f>
        <v/>
      </c>
      <c r="M44" s="1064">
        <f>Application!G742</f>
        <v>0</v>
      </c>
      <c r="N44" s="1070">
        <f>Application!AC742</f>
        <v>0</v>
      </c>
      <c r="O44" s="1070" t="str">
        <f>IF(Cdlac[[#This Row],[Quantity]]&gt;0,IF(Cdlac[[#This Row],[Federal]],30%,IF(AND(OR(NOT($G$38),$G$38=""),$G$43),40%,Cdlac[[#This Row],[iAMI]])),"")</f>
        <v/>
      </c>
      <c r="P44" s="1064" t="str" cm="1">
        <f t="array" ref="P44">IF(Cdlac[[#This Row],[Quantity]]&gt;0,INDEX(TcacRents,$P$18,Cdlac[[#This Row],[Bedrooms]]+1)*Cdlac[[#This Row],[AMI]],"")</f>
        <v/>
      </c>
      <c r="Q44" s="1163"/>
      <c r="R44" s="1064" t="str" cm="1">
        <f t="array" ref="R44">IF(Cdlac[[#This Row],[Quantity]]&gt;0,INDEX(HudFmrs,$P$18,Cdlac[[#This Row],[Bedrooms]]+1),"")</f>
        <v/>
      </c>
      <c r="S44" s="1064" t="str">
        <f>IF(Cdlac[[#This Row],[Quantity]]&gt;0,MAX(0,Cdlac[[#This Row],[Fair Market Rent]]-IF(AND($G$37,$G$38,$G$38&lt;&gt;"",NOT(Cdlac[[#This Row],[Federal]]),Cdlac[[#This Row],[Preservation Rent]]&lt;&gt;""),Cdlac[[#This Row],[Preservation Rent]],Cdlac[[#This Row],[Restricted Rent]])),"")</f>
        <v/>
      </c>
      <c r="T44" s="1043" t="str">
        <f>IF(Cdlac[[#This Row],[Quantity]]&gt;0,AND(Application!AK742&lt;&gt;"N/A",Application!AK742&lt;&gt;"")*Cdlac[[#This Row],[Quantity]],"")</f>
        <v/>
      </c>
      <c r="U44" s="1043" t="b">
        <f>AND('Subsidy Contract Calculation'!F28&gt;0,OR('Subsidy Contract Calculation'!C28="Federal",'Subsidy Contract Calculation'!C28="Local - Approved by ED"),Cdlac[[#This Row],[Quantity]]&gt;0)</f>
        <v>0</v>
      </c>
    </row>
    <row r="45" spans="1:21" ht="15" customHeight="1">
      <c r="E45" s="1083" t="s">
        <v>1950</v>
      </c>
      <c r="G45" s="1077">
        <f>IFERROR(SUMPRODUCT(Cdlac[Quantity],Cdlac[Delta]),0)</f>
        <v>103333</v>
      </c>
      <c r="L45" s="1043" t="str">
        <f>IFERROR(MIN(4,MATCH(Application!B743,UnitSizes,0)-1),"")</f>
        <v/>
      </c>
      <c r="M45" s="1064">
        <f>Application!G743</f>
        <v>0</v>
      </c>
      <c r="N45" s="1070">
        <f>Application!AC743</f>
        <v>0</v>
      </c>
      <c r="O45" s="1070" t="str">
        <f>IF(Cdlac[[#This Row],[Quantity]]&gt;0,IF(Cdlac[[#This Row],[Federal]],30%,IF(AND(OR(NOT($G$38),$G$38=""),$G$43),40%,Cdlac[[#This Row],[iAMI]])),"")</f>
        <v/>
      </c>
      <c r="P45" s="1064" t="str" cm="1">
        <f t="array" ref="P45">IF(Cdlac[[#This Row],[Quantity]]&gt;0,INDEX(TcacRents,$P$18,Cdlac[[#This Row],[Bedrooms]]+1)*Cdlac[[#This Row],[AMI]],"")</f>
        <v/>
      </c>
      <c r="Q45" s="1163"/>
      <c r="R45" s="1064" t="str" cm="1">
        <f t="array" ref="R45">IF(Cdlac[[#This Row],[Quantity]]&gt;0,INDEX(HudFmrs,$P$18,Cdlac[[#This Row],[Bedrooms]]+1),"")</f>
        <v/>
      </c>
      <c r="S45" s="1064" t="str">
        <f>IF(Cdlac[[#This Row],[Quantity]]&gt;0,MAX(0,Cdlac[[#This Row],[Fair Market Rent]]-IF(AND($G$37,$G$38,$G$38&lt;&gt;"",NOT(Cdlac[[#This Row],[Federal]]),Cdlac[[#This Row],[Preservation Rent]]&lt;&gt;""),Cdlac[[#This Row],[Preservation Rent]],Cdlac[[#This Row],[Restricted Rent]])),"")</f>
        <v/>
      </c>
      <c r="T45" s="1043" t="str">
        <f>IF(Cdlac[[#This Row],[Quantity]]&gt;0,AND(Application!AK743&lt;&gt;"N/A",Application!AK743&lt;&gt;"")*Cdlac[[#This Row],[Quantity]],"")</f>
        <v/>
      </c>
      <c r="U45" s="1043" t="b">
        <f>AND('Subsidy Contract Calculation'!F29&gt;0,OR('Subsidy Contract Calculation'!C29="Federal",'Subsidy Contract Calculation'!C29="Local - Approved by ED"),Cdlac[[#This Row],[Quantity]]&gt;0)</f>
        <v>0</v>
      </c>
    </row>
    <row r="46" spans="1:21" ht="15" customHeight="1">
      <c r="E46" s="1116" t="s">
        <v>2006</v>
      </c>
      <c r="F46" s="1112" t="s">
        <v>1994</v>
      </c>
      <c r="G46" s="1120">
        <f>12*15</f>
        <v>180</v>
      </c>
      <c r="L46" s="1043" t="str">
        <f>IFERROR(MIN(4,MATCH(Application!B744,UnitSizes,0)-1),"")</f>
        <v/>
      </c>
      <c r="M46" s="1064">
        <f>Application!G744</f>
        <v>0</v>
      </c>
      <c r="N46" s="1070">
        <f>Application!AC744</f>
        <v>0</v>
      </c>
      <c r="O46" s="1070" t="str">
        <f>IF(Cdlac[[#This Row],[Quantity]]&gt;0,IF(Cdlac[[#This Row],[Federal]],30%,IF(AND(OR(NOT($G$38),$G$38=""),$G$43),40%,Cdlac[[#This Row],[iAMI]])),"")</f>
        <v/>
      </c>
      <c r="P46" s="1064" t="str" cm="1">
        <f t="array" ref="P46">IF(Cdlac[[#This Row],[Quantity]]&gt;0,INDEX(TcacRents,$P$18,Cdlac[[#This Row],[Bedrooms]]+1)*Cdlac[[#This Row],[AMI]],"")</f>
        <v/>
      </c>
      <c r="Q46" s="1163"/>
      <c r="R46" s="1064" t="str" cm="1">
        <f t="array" ref="R46">IF(Cdlac[[#This Row],[Quantity]]&gt;0,INDEX(HudFmrs,$P$18,Cdlac[[#This Row],[Bedrooms]]+1),"")</f>
        <v/>
      </c>
      <c r="S46" s="1064" t="str">
        <f>IF(Cdlac[[#This Row],[Quantity]]&gt;0,MAX(0,Cdlac[[#This Row],[Fair Market Rent]]-IF(AND($G$37,$G$38,$G$38&lt;&gt;"",NOT(Cdlac[[#This Row],[Federal]]),Cdlac[[#This Row],[Preservation Rent]]&lt;&gt;""),Cdlac[[#This Row],[Preservation Rent]],Cdlac[[#This Row],[Restricted Rent]])),"")</f>
        <v/>
      </c>
      <c r="T46" s="1043" t="str">
        <f>IF(Cdlac[[#This Row],[Quantity]]&gt;0,AND(Application!AK744&lt;&gt;"N/A",Application!AK744&lt;&gt;"")*Cdlac[[#This Row],[Quantity]],"")</f>
        <v/>
      </c>
      <c r="U46" s="1043" t="b">
        <f>AND('Subsidy Contract Calculation'!F30&gt;0,OR('Subsidy Contract Calculation'!C30="Federal",'Subsidy Contract Calculation'!C30="Local - Approved by ED"),Cdlac[[#This Row],[Quantity]]&gt;0)</f>
        <v>0</v>
      </c>
    </row>
    <row r="47" spans="1:21" ht="15" customHeight="1">
      <c r="E47" s="1121" t="s">
        <v>1945</v>
      </c>
      <c r="F47" s="1045"/>
      <c r="G47" s="1122">
        <f>G45*G46</f>
        <v>18599940</v>
      </c>
      <c r="L47" s="1043" t="str">
        <f>IFERROR(MIN(4,MATCH(Application!B745,UnitSizes,0)-1),"")</f>
        <v/>
      </c>
      <c r="M47" s="1064">
        <f>Application!G745</f>
        <v>0</v>
      </c>
      <c r="N47" s="1070">
        <f>Application!AC745</f>
        <v>0</v>
      </c>
      <c r="O47" s="1070" t="str">
        <f>IF(Cdlac[[#This Row],[Quantity]]&gt;0,IF(Cdlac[[#This Row],[Federal]],30%,IF(AND(OR(NOT($G$38),$G$38=""),$G$43),40%,Cdlac[[#This Row],[iAMI]])),"")</f>
        <v/>
      </c>
      <c r="P47" s="1064" t="str" cm="1">
        <f t="array" ref="P47">IF(Cdlac[[#This Row],[Quantity]]&gt;0,INDEX(TcacRents,$P$18,Cdlac[[#This Row],[Bedrooms]]+1)*Cdlac[[#This Row],[AMI]],"")</f>
        <v/>
      </c>
      <c r="Q47" s="1163"/>
      <c r="R47" s="1064" t="str" cm="1">
        <f t="array" ref="R47">IF(Cdlac[[#This Row],[Quantity]]&gt;0,INDEX(HudFmrs,$P$18,Cdlac[[#This Row],[Bedrooms]]+1),"")</f>
        <v/>
      </c>
      <c r="S47" s="1064" t="str">
        <f>IF(Cdlac[[#This Row],[Quantity]]&gt;0,MAX(0,Cdlac[[#This Row],[Fair Market Rent]]-IF(AND($G$37,$G$38,$G$38&lt;&gt;"",NOT(Cdlac[[#This Row],[Federal]]),Cdlac[[#This Row],[Preservation Rent]]&lt;&gt;""),Cdlac[[#This Row],[Preservation Rent]],Cdlac[[#This Row],[Restricted Rent]])),"")</f>
        <v/>
      </c>
      <c r="T47" s="1043" t="str">
        <f>IF(Cdlac[[#This Row],[Quantity]]&gt;0,AND(Application!AK745&lt;&gt;"N/A",Application!AK745&lt;&gt;"")*Cdlac[[#This Row],[Quantity]],"")</f>
        <v/>
      </c>
      <c r="U47" s="1043" t="b">
        <f>AND('Subsidy Contract Calculation'!F31&gt;0,OR('Subsidy Contract Calculation'!C31="Federal",'Subsidy Contract Calculation'!C31="Local - Approved by ED"),Cdlac[[#This Row],[Quantity]]&gt;0)</f>
        <v>0</v>
      </c>
    </row>
    <row r="48" spans="1:21" ht="15" customHeight="1">
      <c r="L48" s="1043" t="str">
        <f>IFERROR(MIN(4,MATCH(Application!B746,UnitSizes,0)-1),"")</f>
        <v/>
      </c>
      <c r="M48" s="1064">
        <f>Application!G746</f>
        <v>0</v>
      </c>
      <c r="N48" s="1070">
        <f>Application!AC746</f>
        <v>0</v>
      </c>
      <c r="O48" s="1070" t="str">
        <f>IF(Cdlac[[#This Row],[Quantity]]&gt;0,IF(Cdlac[[#This Row],[Federal]],30%,IF(AND(OR(NOT($G$38),$G$38=""),$G$43),40%,Cdlac[[#This Row],[iAMI]])),"")</f>
        <v/>
      </c>
      <c r="P48" s="1064" t="str" cm="1">
        <f t="array" ref="P48">IF(Cdlac[[#This Row],[Quantity]]&gt;0,INDEX(TcacRents,$P$18,Cdlac[[#This Row],[Bedrooms]]+1)*Cdlac[[#This Row],[AMI]],"")</f>
        <v/>
      </c>
      <c r="Q48" s="1163"/>
      <c r="R48" s="1064" t="str" cm="1">
        <f t="array" ref="R48">IF(Cdlac[[#This Row],[Quantity]]&gt;0,INDEX(HudFmrs,$P$18,Cdlac[[#This Row],[Bedrooms]]+1),"")</f>
        <v/>
      </c>
      <c r="S48" s="1064" t="str">
        <f>IF(Cdlac[[#This Row],[Quantity]]&gt;0,MAX(0,Cdlac[[#This Row],[Fair Market Rent]]-IF(AND($G$37,$G$38,$G$38&lt;&gt;"",NOT(Cdlac[[#This Row],[Federal]]),Cdlac[[#This Row],[Preservation Rent]]&lt;&gt;""),Cdlac[[#This Row],[Preservation Rent]],Cdlac[[#This Row],[Restricted Rent]])),"")</f>
        <v/>
      </c>
      <c r="T48" s="1043" t="str">
        <f>IF(Cdlac[[#This Row],[Quantity]]&gt;0,AND(Application!AK746&lt;&gt;"N/A",Application!AK746&lt;&gt;"")*Cdlac[[#This Row],[Quantity]],"")</f>
        <v/>
      </c>
      <c r="U48" s="1043" t="b">
        <f>AND('Subsidy Contract Calculation'!F32&gt;0,OR('Subsidy Contract Calculation'!C32="Federal",'Subsidy Contract Calculation'!C32="Local - Approved by ED"),Cdlac[[#This Row],[Quantity]]&gt;0)</f>
        <v>0</v>
      </c>
    </row>
    <row r="49" spans="2:21" ht="15" customHeight="1">
      <c r="B49" s="1065" t="str">
        <f>B11&amp;": "&amp;B12</f>
        <v>C. Population Benefit: (1) Special Needs Population Benefit</v>
      </c>
      <c r="C49" s="1066"/>
      <c r="D49" s="1066"/>
      <c r="E49" s="1066"/>
      <c r="F49" s="1066"/>
      <c r="G49" s="1066"/>
      <c r="H49" s="1066"/>
      <c r="I49" s="1067"/>
      <c r="L49" s="1043" t="str">
        <f>IFERROR(MIN(4,MATCH(Application!B747,UnitSizes,0)-1),"")</f>
        <v/>
      </c>
      <c r="M49" s="1064">
        <f>Application!G747</f>
        <v>0</v>
      </c>
      <c r="N49" s="1070">
        <f>Application!AC747</f>
        <v>0</v>
      </c>
      <c r="O49" s="1070" t="str">
        <f>IF(Cdlac[[#This Row],[Quantity]]&gt;0,IF(Cdlac[[#This Row],[Federal]],30%,IF(AND(OR(NOT($G$38),$G$38=""),$G$43),40%,Cdlac[[#This Row],[iAMI]])),"")</f>
        <v/>
      </c>
      <c r="P49" s="1064" t="str" cm="1">
        <f t="array" ref="P49">IF(Cdlac[[#This Row],[Quantity]]&gt;0,INDEX(TcacRents,$P$18,Cdlac[[#This Row],[Bedrooms]]+1)*Cdlac[[#This Row],[AMI]],"")</f>
        <v/>
      </c>
      <c r="Q49" s="1163"/>
      <c r="R49" s="1064" t="str" cm="1">
        <f t="array" ref="R49">IF(Cdlac[[#This Row],[Quantity]]&gt;0,INDEX(HudFmrs,$P$18,Cdlac[[#This Row],[Bedrooms]]+1),"")</f>
        <v/>
      </c>
      <c r="S49" s="1064" t="str">
        <f>IF(Cdlac[[#This Row],[Quantity]]&gt;0,MAX(0,Cdlac[[#This Row],[Fair Market Rent]]-IF(AND($G$37,$G$38,$G$38&lt;&gt;"",NOT(Cdlac[[#This Row],[Federal]]),Cdlac[[#This Row],[Preservation Rent]]&lt;&gt;""),Cdlac[[#This Row],[Preservation Rent]],Cdlac[[#This Row],[Restricted Rent]])),"")</f>
        <v/>
      </c>
      <c r="T49" s="1043" t="str">
        <f>IF(Cdlac[[#This Row],[Quantity]]&gt;0,AND(Application!AK747&lt;&gt;"N/A",Application!AK747&lt;&gt;"")*Cdlac[[#This Row],[Quantity]],"")</f>
        <v/>
      </c>
      <c r="U49" s="1043" t="b">
        <f>AND('Subsidy Contract Calculation'!F33&gt;0,OR('Subsidy Contract Calculation'!C33="Federal",'Subsidy Contract Calculation'!C33="Local - Approved by ED"),Cdlac[[#This Row],[Quantity]]&gt;0)</f>
        <v>0</v>
      </c>
    </row>
    <row r="50" spans="2:21" ht="15" customHeight="1">
      <c r="L50" s="1043" t="str">
        <f>IFERROR(MIN(4,MATCH(Application!B748,UnitSizes,0)-1),"")</f>
        <v/>
      </c>
      <c r="M50" s="1064">
        <f>Application!G748</f>
        <v>0</v>
      </c>
      <c r="N50" s="1070">
        <f>Application!AC748</f>
        <v>0</v>
      </c>
      <c r="O50" s="1070" t="str">
        <f>IF(Cdlac[[#This Row],[Quantity]]&gt;0,IF(Cdlac[[#This Row],[Federal]],30%,IF(AND(OR(NOT($G$38),$G$38=""),$G$43),40%,Cdlac[[#This Row],[iAMI]])),"")</f>
        <v/>
      </c>
      <c r="P50" s="1064" t="str" cm="1">
        <f t="array" ref="P50">IF(Cdlac[[#This Row],[Quantity]]&gt;0,INDEX(TcacRents,$P$18,Cdlac[[#This Row],[Bedrooms]]+1)*Cdlac[[#This Row],[AMI]],"")</f>
        <v/>
      </c>
      <c r="Q50" s="1163"/>
      <c r="R50" s="1064" t="str" cm="1">
        <f t="array" ref="R50">IF(Cdlac[[#This Row],[Quantity]]&gt;0,INDEX(HudFmrs,$P$18,Cdlac[[#This Row],[Bedrooms]]+1),"")</f>
        <v/>
      </c>
      <c r="S50" s="1064" t="str">
        <f>IF(Cdlac[[#This Row],[Quantity]]&gt;0,MAX(0,Cdlac[[#This Row],[Fair Market Rent]]-IF(AND($G$37,$G$38,$G$38&lt;&gt;"",NOT(Cdlac[[#This Row],[Federal]]),Cdlac[[#This Row],[Preservation Rent]]&lt;&gt;""),Cdlac[[#This Row],[Preservation Rent]],Cdlac[[#This Row],[Restricted Rent]])),"")</f>
        <v/>
      </c>
      <c r="T50" s="1043" t="str">
        <f>IF(Cdlac[[#This Row],[Quantity]]&gt;0,AND(Application!AK748&lt;&gt;"N/A",Application!AK748&lt;&gt;"")*Cdlac[[#This Row],[Quantity]],"")</f>
        <v/>
      </c>
      <c r="U50" s="1043" t="b">
        <f>AND('Subsidy Contract Calculation'!F34&gt;0,OR('Subsidy Contract Calculation'!C34="Federal",'Subsidy Contract Calculation'!C34="Local - Approved by ED"),Cdlac[[#This Row],[Quantity]]&gt;0)</f>
        <v>0</v>
      </c>
    </row>
    <row r="51" spans="2:21" ht="15" customHeight="1">
      <c r="E51" s="1116" t="s">
        <v>1995</v>
      </c>
      <c r="G51" s="1113">
        <f>T18</f>
        <v>75</v>
      </c>
      <c r="L51" s="1043" t="str">
        <f>IFERROR(MIN(4,MATCH(Application!B749,UnitSizes,0)-1),"")</f>
        <v/>
      </c>
      <c r="M51" s="1064">
        <f>Application!G749</f>
        <v>0</v>
      </c>
      <c r="N51" s="1070">
        <f>Application!AC749</f>
        <v>0</v>
      </c>
      <c r="O51" s="1070" t="str">
        <f>IF(Cdlac[[#This Row],[Quantity]]&gt;0,IF(Cdlac[[#This Row],[Federal]],30%,IF(AND(OR(NOT($G$38),$G$38=""),$G$43),40%,Cdlac[[#This Row],[iAMI]])),"")</f>
        <v/>
      </c>
      <c r="P51" s="1064" t="str" cm="1">
        <f t="array" ref="P51">IF(Cdlac[[#This Row],[Quantity]]&gt;0,INDEX(TcacRents,$P$18,Cdlac[[#This Row],[Bedrooms]]+1)*Cdlac[[#This Row],[AMI]],"")</f>
        <v/>
      </c>
      <c r="Q51" s="1163"/>
      <c r="R51" s="1064" t="str" cm="1">
        <f t="array" ref="R51">IF(Cdlac[[#This Row],[Quantity]]&gt;0,INDEX(HudFmrs,$P$18,Cdlac[[#This Row],[Bedrooms]]+1),"")</f>
        <v/>
      </c>
      <c r="S51" s="1064" t="str">
        <f>IF(Cdlac[[#This Row],[Quantity]]&gt;0,MAX(0,Cdlac[[#This Row],[Fair Market Rent]]-IF(AND($G$37,$G$38,$G$38&lt;&gt;"",NOT(Cdlac[[#This Row],[Federal]]),Cdlac[[#This Row],[Preservation Rent]]&lt;&gt;""),Cdlac[[#This Row],[Preservation Rent]],Cdlac[[#This Row],[Restricted Rent]])),"")</f>
        <v/>
      </c>
      <c r="T51" s="1043" t="str">
        <f>IF(Cdlac[[#This Row],[Quantity]]&gt;0,AND(Application!AK749&lt;&gt;"N/A",Application!AK749&lt;&gt;"")*Cdlac[[#This Row],[Quantity]],"")</f>
        <v/>
      </c>
      <c r="U51" s="1043" t="b">
        <f>AND('Subsidy Contract Calculation'!F35&gt;0,OR('Subsidy Contract Calculation'!C35="Federal",'Subsidy Contract Calculation'!C35="Local - Approved by ED"),Cdlac[[#This Row],[Quantity]]&gt;0)</f>
        <v>0</v>
      </c>
    </row>
    <row r="52" spans="2:21" ht="15" customHeight="1">
      <c r="E52" s="1116" t="s">
        <v>1996</v>
      </c>
      <c r="G52" s="1113">
        <f>ROUNDDOWN(E29*50%,0)</f>
        <v>74</v>
      </c>
      <c r="L52" s="1043" t="str">
        <f>IFERROR(MIN(4,MATCH(Application!B750,UnitSizes,0)-1),"")</f>
        <v/>
      </c>
      <c r="M52" s="1064">
        <f>Application!G750</f>
        <v>0</v>
      </c>
      <c r="N52" s="1070">
        <f>Application!AC750</f>
        <v>0</v>
      </c>
      <c r="O52" s="1070" t="str">
        <f>IF(Cdlac[[#This Row],[Quantity]]&gt;0,IF(Cdlac[[#This Row],[Federal]],30%,IF(AND(OR(NOT($G$38),$G$38=""),$G$43),40%,Cdlac[[#This Row],[iAMI]])),"")</f>
        <v/>
      </c>
      <c r="P52" s="1064" t="str" cm="1">
        <f t="array" ref="P52">IF(Cdlac[[#This Row],[Quantity]]&gt;0,INDEX(TcacRents,$P$18,Cdlac[[#This Row],[Bedrooms]]+1)*Cdlac[[#This Row],[AMI]],"")</f>
        <v/>
      </c>
      <c r="Q52" s="1163"/>
      <c r="R52" s="1064" t="str" cm="1">
        <f t="array" ref="R52">IF(Cdlac[[#This Row],[Quantity]]&gt;0,INDEX(HudFmrs,$P$18,Cdlac[[#This Row],[Bedrooms]]+1),"")</f>
        <v/>
      </c>
      <c r="S52" s="1064" t="str">
        <f>IF(Cdlac[[#This Row],[Quantity]]&gt;0,MAX(0,Cdlac[[#This Row],[Fair Market Rent]]-IF(AND($G$37,$G$38,$G$38&lt;&gt;"",NOT(Cdlac[[#This Row],[Federal]]),Cdlac[[#This Row],[Preservation Rent]]&lt;&gt;""),Cdlac[[#This Row],[Preservation Rent]],Cdlac[[#This Row],[Restricted Rent]])),"")</f>
        <v/>
      </c>
      <c r="T52" s="1043" t="str">
        <f>IF(Cdlac[[#This Row],[Quantity]]&gt;0,AND(Application!AK750&lt;&gt;"N/A",Application!AK750&lt;&gt;"")*Cdlac[[#This Row],[Quantity]],"")</f>
        <v/>
      </c>
      <c r="U52" s="1043" t="b">
        <f>AND('Subsidy Contract Calculation'!F36&gt;0,OR('Subsidy Contract Calculation'!C36="Federal",'Subsidy Contract Calculation'!C36="Local - Approved by ED"),Cdlac[[#This Row],[Quantity]]&gt;0)</f>
        <v>0</v>
      </c>
    </row>
    <row r="53" spans="2:21" ht="15" customHeight="1">
      <c r="E53" s="1116"/>
      <c r="G53" s="1124"/>
      <c r="L53" s="1043" t="str">
        <f>IFERROR(MIN(4,MATCH(Application!B751,UnitSizes,0)-1),"")</f>
        <v/>
      </c>
      <c r="M53" s="1064">
        <f>Application!G751</f>
        <v>0</v>
      </c>
      <c r="N53" s="1070">
        <f>Application!AC751</f>
        <v>0</v>
      </c>
      <c r="O53" s="1070" t="str">
        <f>IF(Cdlac[[#This Row],[Quantity]]&gt;0,IF(Cdlac[[#This Row],[Federal]],30%,IF(AND(OR(NOT($G$38),$G$38=""),$G$43),40%,Cdlac[[#This Row],[iAMI]])),"")</f>
        <v/>
      </c>
      <c r="P53" s="1064" t="str" cm="1">
        <f t="array" ref="P53">IF(Cdlac[[#This Row],[Quantity]]&gt;0,INDEX(TcacRents,$P$18,Cdlac[[#This Row],[Bedrooms]]+1)*Cdlac[[#This Row],[AMI]],"")</f>
        <v/>
      </c>
      <c r="Q53" s="1163"/>
      <c r="R53" s="1064" t="str" cm="1">
        <f t="array" ref="R53">IF(Cdlac[[#This Row],[Quantity]]&gt;0,INDEX(HudFmrs,$P$18,Cdlac[[#This Row],[Bedrooms]]+1),"")</f>
        <v/>
      </c>
      <c r="S53" s="1064" t="str">
        <f>IF(Cdlac[[#This Row],[Quantity]]&gt;0,MAX(0,Cdlac[[#This Row],[Fair Market Rent]]-IF(AND($G$37,$G$38,$G$38&lt;&gt;"",NOT(Cdlac[[#This Row],[Federal]]),Cdlac[[#This Row],[Preservation Rent]]&lt;&gt;""),Cdlac[[#This Row],[Preservation Rent]],Cdlac[[#This Row],[Restricted Rent]])),"")</f>
        <v/>
      </c>
      <c r="T53" s="1043" t="str">
        <f>IF(Cdlac[[#This Row],[Quantity]]&gt;0,AND(Application!AK751&lt;&gt;"N/A",Application!AK751&lt;&gt;"")*Cdlac[[#This Row],[Quantity]],"")</f>
        <v/>
      </c>
      <c r="U53" s="1043" t="b">
        <f>AND('Subsidy Contract Calculation'!F37&gt;0,OR('Subsidy Contract Calculation'!C37="Federal",'Subsidy Contract Calculation'!C37="Local - Approved by ED"),Cdlac[[#This Row],[Quantity]]&gt;0)</f>
        <v>0</v>
      </c>
    </row>
    <row r="54" spans="2:21" ht="15" customHeight="1">
      <c r="E54" s="1116" t="s">
        <v>1956</v>
      </c>
      <c r="G54" s="1113">
        <f>MIN(G51:G52)</f>
        <v>74</v>
      </c>
      <c r="L54" s="1043" t="str">
        <f>IFERROR(MIN(4,MATCH(Application!B752,UnitSizes,0)-1),"")</f>
        <v/>
      </c>
      <c r="M54" s="1064">
        <f>Application!G752</f>
        <v>0</v>
      </c>
      <c r="N54" s="1070">
        <f>Application!AC752</f>
        <v>0</v>
      </c>
      <c r="O54" s="1070" t="str">
        <f>IF(Cdlac[[#This Row],[Quantity]]&gt;0,IF(Cdlac[[#This Row],[Federal]],30%,IF(AND(OR(NOT($G$38),$G$38=""),$G$43),40%,Cdlac[[#This Row],[iAMI]])),"")</f>
        <v/>
      </c>
      <c r="P54" s="1064" t="str" cm="1">
        <f t="array" ref="P54">IF(Cdlac[[#This Row],[Quantity]]&gt;0,INDEX(TcacRents,$P$18,Cdlac[[#This Row],[Bedrooms]]+1)*Cdlac[[#This Row],[AMI]],"")</f>
        <v/>
      </c>
      <c r="Q54" s="1163"/>
      <c r="R54" s="1064" t="str" cm="1">
        <f t="array" ref="R54">IF(Cdlac[[#This Row],[Quantity]]&gt;0,INDEX(HudFmrs,$P$18,Cdlac[[#This Row],[Bedrooms]]+1),"")</f>
        <v/>
      </c>
      <c r="S54" s="1064" t="str">
        <f>IF(Cdlac[[#This Row],[Quantity]]&gt;0,MAX(0,Cdlac[[#This Row],[Fair Market Rent]]-IF(AND($G$37,$G$38,$G$38&lt;&gt;"",NOT(Cdlac[[#This Row],[Federal]]),Cdlac[[#This Row],[Preservation Rent]]&lt;&gt;""),Cdlac[[#This Row],[Preservation Rent]],Cdlac[[#This Row],[Restricted Rent]])),"")</f>
        <v/>
      </c>
      <c r="T54" s="1043" t="str">
        <f>IF(Cdlac[[#This Row],[Quantity]]&gt;0,AND(Application!AK752&lt;&gt;"N/A",Application!AK752&lt;&gt;"")*Cdlac[[#This Row],[Quantity]],"")</f>
        <v/>
      </c>
      <c r="U54" s="1043" t="b">
        <f>AND('Subsidy Contract Calculation'!F38&gt;0,OR('Subsidy Contract Calculation'!C38="Federal",'Subsidy Contract Calculation'!C38="Local - Approved by ED"),Cdlac[[#This Row],[Quantity]]&gt;0)</f>
        <v>0</v>
      </c>
    </row>
    <row r="55" spans="2:21" ht="15" customHeight="1">
      <c r="E55" s="1116" t="s">
        <v>1946</v>
      </c>
      <c r="F55" s="1112" t="s">
        <v>1994</v>
      </c>
      <c r="G55" s="1123">
        <v>10000</v>
      </c>
      <c r="M55" s="1064"/>
      <c r="N55" s="1070"/>
      <c r="O55" s="1070"/>
      <c r="P55" s="1064"/>
      <c r="Q55" s="1163"/>
      <c r="R55" s="1064"/>
      <c r="S55" s="1064"/>
    </row>
    <row r="56" spans="2:21" ht="15" customHeight="1">
      <c r="E56" s="1117" t="s">
        <v>1979</v>
      </c>
      <c r="F56" s="1045"/>
      <c r="G56" s="1122">
        <f>G54*G55</f>
        <v>740000</v>
      </c>
    </row>
    <row r="57" spans="2:21" ht="15" customHeight="1"/>
    <row r="58" spans="2:21" ht="15" customHeight="1">
      <c r="B58" s="1065" t="str">
        <f>B11&amp;": "&amp;B13</f>
        <v>C. Population Benefit: (2) Extremely Low Income Benefit</v>
      </c>
      <c r="C58" s="1066"/>
      <c r="D58" s="1066"/>
      <c r="E58" s="1066"/>
      <c r="F58" s="1066"/>
      <c r="G58" s="1066"/>
      <c r="H58" s="1066"/>
      <c r="I58" s="1067"/>
    </row>
    <row r="59" spans="2:21" ht="15" customHeight="1"/>
    <row r="60" spans="2:21" ht="15" customHeight="1">
      <c r="E60" s="1116" t="s">
        <v>1997</v>
      </c>
      <c r="G60" s="1078">
        <f>SUMIFS(Cdlac[Quantity],Cdlac[iAMI],"&lt;=30%")</f>
        <v>75</v>
      </c>
    </row>
    <row r="61" spans="2:21" ht="15" customHeight="1">
      <c r="E61" s="1116" t="s">
        <v>1996</v>
      </c>
      <c r="G61" s="1078">
        <f>ROUNDDOWN(E29*50%,0)</f>
        <v>74</v>
      </c>
    </row>
    <row r="62" spans="2:21" ht="15" customHeight="1">
      <c r="E62" s="1116"/>
      <c r="G62" s="1078"/>
    </row>
    <row r="63" spans="2:21" ht="15" customHeight="1">
      <c r="E63" s="1116" t="s">
        <v>1956</v>
      </c>
      <c r="G63" s="1113">
        <f>MIN(G60:G61)</f>
        <v>74</v>
      </c>
    </row>
    <row r="64" spans="2:21" ht="15" customHeight="1">
      <c r="E64" s="1116" t="s">
        <v>1946</v>
      </c>
      <c r="F64" s="1112" t="s">
        <v>1994</v>
      </c>
      <c r="G64" s="1123">
        <v>20000</v>
      </c>
    </row>
    <row r="65" spans="2:14" ht="15" customHeight="1">
      <c r="E65" s="1117" t="s">
        <v>1978</v>
      </c>
      <c r="F65" s="1045"/>
      <c r="G65" s="1122">
        <f>G63*G64</f>
        <v>1480000</v>
      </c>
    </row>
    <row r="66" spans="2:14" ht="15" customHeight="1"/>
    <row r="67" spans="2:14" ht="15" customHeight="1">
      <c r="B67" s="1065" t="str">
        <f>B14&amp;": "&amp;B15</f>
        <v>D. Location Benefit: (1) Resource Area Benefit</v>
      </c>
      <c r="C67" s="1066"/>
      <c r="D67" s="1066"/>
      <c r="E67" s="1066"/>
      <c r="F67" s="1066"/>
      <c r="G67" s="1066"/>
      <c r="H67" s="1066"/>
      <c r="I67" s="1067"/>
    </row>
    <row r="68" spans="2:14" ht="15" customHeight="1"/>
    <row r="69" spans="2:14" ht="15" customHeight="1">
      <c r="C69" s="1076" t="s">
        <v>1982</v>
      </c>
      <c r="G69" s="1042" t="s">
        <v>546</v>
      </c>
    </row>
    <row r="70" spans="2:14" ht="15" customHeight="1">
      <c r="C70" s="1076" t="s">
        <v>1983</v>
      </c>
      <c r="G70" s="1080" t="str">
        <f>IF(Application!D211="Large Family","Yes","No")</f>
        <v>No</v>
      </c>
    </row>
    <row r="71" spans="2:14" ht="15" customHeight="1" thickBot="1">
      <c r="C71" s="1076" t="s">
        <v>1969</v>
      </c>
      <c r="G71" s="1042" t="s">
        <v>546</v>
      </c>
    </row>
    <row r="72" spans="2:14" ht="15" customHeight="1">
      <c r="C72" s="1076" t="s">
        <v>1970</v>
      </c>
      <c r="G72" s="1043" t="str">
        <f>Application!T193</f>
        <v>Moderate Resource</v>
      </c>
      <c r="L72" s="2667" t="s">
        <v>1971</v>
      </c>
      <c r="M72" s="2668"/>
      <c r="N72" s="1130">
        <v>30000</v>
      </c>
    </row>
    <row r="73" spans="2:14" ht="15" customHeight="1">
      <c r="C73" s="2669" t="s">
        <v>2264</v>
      </c>
      <c r="D73" s="2669"/>
      <c r="E73" s="2669"/>
      <c r="F73" s="2669"/>
      <c r="G73" s="1042" t="s">
        <v>670</v>
      </c>
      <c r="L73" s="2684" t="s">
        <v>1939</v>
      </c>
      <c r="M73" s="2685"/>
      <c r="N73" s="1131">
        <v>20000</v>
      </c>
    </row>
    <row r="74" spans="2:14" ht="15" customHeight="1" thickBot="1">
      <c r="C74" s="2669"/>
      <c r="D74" s="2669"/>
      <c r="E74" s="2669"/>
      <c r="F74" s="2669"/>
      <c r="L74" s="2659" t="s">
        <v>1972</v>
      </c>
      <c r="M74" s="2660"/>
      <c r="N74" s="1132">
        <v>10000</v>
      </c>
    </row>
    <row r="75" spans="2:14" ht="15" customHeight="1">
      <c r="C75" s="1076"/>
    </row>
    <row r="76" spans="2:14" ht="15" customHeight="1">
      <c r="E76" s="1083" t="s">
        <v>2001</v>
      </c>
      <c r="G76" s="1078" t="b">
        <f>OR(AND(COUNTIFS(G70:G71,"Yes")&gt;=1,G69="Yes"),G73="Yes")</f>
        <v>1</v>
      </c>
    </row>
    <row r="77" spans="2:14" ht="15" customHeight="1">
      <c r="E77" s="1083"/>
      <c r="G77" s="1078"/>
    </row>
    <row r="78" spans="2:14" ht="15" customHeight="1">
      <c r="E78" s="1083" t="s">
        <v>1946</v>
      </c>
      <c r="G78" s="1077">
        <f>IFERROR(IF($G$73="Yes",30000,INDEX(N72:N74,MATCH(LEFT(G72,17),L72:L74,0))),0)</f>
        <v>10000</v>
      </c>
    </row>
    <row r="79" spans="2:14" ht="15" customHeight="1">
      <c r="E79" s="1083" t="str">
        <f>E96</f>
        <v>Bedroom-Adjusted Low-Income Units</v>
      </c>
      <c r="F79" s="1112" t="s">
        <v>1994</v>
      </c>
      <c r="G79" s="1113">
        <f>G29</f>
        <v>137</v>
      </c>
    </row>
    <row r="80" spans="2:14" ht="15" customHeight="1">
      <c r="D80" s="1045"/>
      <c r="E80" s="1117" t="s">
        <v>2269</v>
      </c>
      <c r="F80" s="1045"/>
      <c r="G80" s="1122">
        <f>G79*G78*G76</f>
        <v>1370000</v>
      </c>
    </row>
    <row r="81" spans="2:9" ht="15" customHeight="1"/>
    <row r="82" spans="2:9" ht="15" customHeight="1">
      <c r="B82" s="1065" t="str">
        <f>B14&amp;": "&amp;B16</f>
        <v>D. Location Benefit: (2) Community Revitalization Benefit</v>
      </c>
      <c r="C82" s="1066"/>
      <c r="D82" s="1066"/>
      <c r="E82" s="1066"/>
      <c r="F82" s="1066"/>
      <c r="G82" s="1066"/>
      <c r="H82" s="1066"/>
      <c r="I82" s="1067"/>
    </row>
    <row r="83" spans="2:9" ht="15" customHeight="1"/>
    <row r="84" spans="2:9" ht="15" customHeight="1">
      <c r="F84" s="1115" t="s">
        <v>1977</v>
      </c>
      <c r="G84" s="1042" t="s">
        <v>546</v>
      </c>
    </row>
    <row r="85" spans="2:9" ht="15" customHeight="1">
      <c r="F85" s="1115"/>
    </row>
    <row r="86" spans="2:9" ht="15" customHeight="1">
      <c r="E86" s="1083" t="s">
        <v>2001</v>
      </c>
      <c r="G86" s="1078" t="b">
        <f>G84="Yes"</f>
        <v>1</v>
      </c>
    </row>
    <row r="87" spans="2:9" ht="15" customHeight="1"/>
    <row r="88" spans="2:9" ht="15" customHeight="1">
      <c r="E88" s="1083" t="str">
        <f>E96</f>
        <v>Bedroom-Adjusted Low-Income Units</v>
      </c>
      <c r="G88" s="1113">
        <f>G29</f>
        <v>137</v>
      </c>
    </row>
    <row r="89" spans="2:9" ht="15" customHeight="1">
      <c r="E89" s="1083" t="s">
        <v>1946</v>
      </c>
      <c r="F89" s="1112" t="s">
        <v>1994</v>
      </c>
      <c r="G89" s="1049">
        <v>20000</v>
      </c>
    </row>
    <row r="90" spans="2:9" ht="15" customHeight="1">
      <c r="E90" s="1117" t="s">
        <v>2273</v>
      </c>
      <c r="F90" s="1045"/>
      <c r="G90" s="1122">
        <f>G86*G89*G88</f>
        <v>2740000</v>
      </c>
    </row>
    <row r="91" spans="2:9" ht="15" customHeight="1"/>
    <row r="92" spans="2:9" ht="15" customHeight="1">
      <c r="B92" s="1065" t="str">
        <f>B14&amp;": "&amp;B17</f>
        <v>D. Location Benefit: (3) Transit/Walkability Benefit</v>
      </c>
      <c r="C92" s="1066"/>
      <c r="D92" s="1066"/>
      <c r="E92" s="1066"/>
      <c r="F92" s="1066"/>
      <c r="G92" s="1066"/>
      <c r="H92" s="1066"/>
      <c r="I92" s="1067"/>
    </row>
    <row r="93" spans="2:9" ht="15" customHeight="1"/>
    <row r="94" spans="2:9" ht="15" customHeight="1">
      <c r="E94" s="1083" t="s">
        <v>1957</v>
      </c>
      <c r="G94" s="1113">
        <f>VLOOKUP('Points System'!$H$606,'Points System'!$AO$586:$AP$591,2,FALSE)</f>
        <v>7</v>
      </c>
    </row>
    <row r="95" spans="2:9" ht="15" customHeight="1">
      <c r="E95" s="1083" t="s">
        <v>1946</v>
      </c>
      <c r="F95" s="1112" t="s">
        <v>1994</v>
      </c>
      <c r="G95" s="1075">
        <v>4000</v>
      </c>
    </row>
    <row r="96" spans="2:9" ht="15" customHeight="1" thickBot="1">
      <c r="E96" s="1083" t="s">
        <v>1998</v>
      </c>
      <c r="F96" s="1112" t="s">
        <v>1994</v>
      </c>
      <c r="G96" s="1125">
        <f>G29</f>
        <v>137</v>
      </c>
    </row>
    <row r="97" spans="2:14" ht="15" customHeight="1">
      <c r="E97" s="1117" t="s">
        <v>1963</v>
      </c>
      <c r="F97" s="1045"/>
      <c r="G97" s="1122">
        <f>G94*G95*G96</f>
        <v>3836000</v>
      </c>
      <c r="L97" s="1126" t="str">
        <f>'Points System'!H638</f>
        <v>(i)</v>
      </c>
      <c r="M97" s="2665" t="s">
        <v>1406</v>
      </c>
      <c r="N97" s="2666"/>
    </row>
    <row r="98" spans="2:14" ht="15" customHeight="1">
      <c r="C98" s="1076"/>
      <c r="G98" s="1113"/>
      <c r="L98" s="1127" t="str">
        <f>'Points System'!H650</f>
        <v>(ii)</v>
      </c>
      <c r="M98" s="2661" t="s">
        <v>1958</v>
      </c>
      <c r="N98" s="2662"/>
    </row>
    <row r="99" spans="2:14" ht="15" customHeight="1">
      <c r="E99" s="1083" t="s">
        <v>1999</v>
      </c>
      <c r="G99" s="1125">
        <f>COUNTIFS(L97:L104,"(i)")</f>
        <v>5</v>
      </c>
      <c r="L99" s="1127" t="str">
        <f>'Points System'!H685</f>
        <v>(ii)</v>
      </c>
      <c r="M99" s="2661" t="s">
        <v>1959</v>
      </c>
      <c r="N99" s="2662"/>
    </row>
    <row r="100" spans="2:14" ht="15" customHeight="1">
      <c r="E100" s="1083" t="s">
        <v>1946</v>
      </c>
      <c r="F100" s="1112" t="s">
        <v>1994</v>
      </c>
      <c r="G100" s="1123">
        <v>4000</v>
      </c>
      <c r="L100" s="1127" t="str">
        <f>IF(OR('Points System'!H709="(ii)",'Points System'!H709="(i)"),"(i)","N/A")</f>
        <v>(i)</v>
      </c>
      <c r="M100" s="2661" t="s">
        <v>1960</v>
      </c>
      <c r="N100" s="2662"/>
    </row>
    <row r="101" spans="2:14" ht="15" customHeight="1">
      <c r="E101" s="1117" t="s">
        <v>1964</v>
      </c>
      <c r="F101" s="1045"/>
      <c r="G101" s="1122">
        <f>G96*G99*G100</f>
        <v>2740000</v>
      </c>
      <c r="L101" s="1128" t="str">
        <f>'Points System'!H723</f>
        <v>(ii)</v>
      </c>
      <c r="M101" s="2661" t="s">
        <v>1432</v>
      </c>
      <c r="N101" s="2662"/>
    </row>
    <row r="102" spans="2:14" ht="15" customHeight="1">
      <c r="L102" s="1127" t="str">
        <f>'Points System'!H735</f>
        <v>(i)</v>
      </c>
      <c r="M102" s="2661" t="s">
        <v>1961</v>
      </c>
      <c r="N102" s="2662"/>
    </row>
    <row r="103" spans="2:14" ht="15" customHeight="1">
      <c r="C103" s="1079" t="s">
        <v>1966</v>
      </c>
      <c r="L103" s="1127" t="str">
        <f>'Points System'!H751</f>
        <v>(i)</v>
      </c>
      <c r="M103" s="2661" t="s">
        <v>1962</v>
      </c>
      <c r="N103" s="2662"/>
    </row>
    <row r="104" spans="2:14" ht="15" customHeight="1" thickBot="1">
      <c r="C104" s="1076" t="s">
        <v>1967</v>
      </c>
      <c r="G104" s="1042"/>
      <c r="L104" s="1129" t="str">
        <f>'Points System'!H763</f>
        <v>(i)</v>
      </c>
      <c r="M104" s="2663" t="s">
        <v>1435</v>
      </c>
      <c r="N104" s="2664"/>
    </row>
    <row r="105" spans="2:14" ht="15" customHeight="1">
      <c r="C105" s="1076" t="s">
        <v>1968</v>
      </c>
      <c r="G105" s="1042"/>
    </row>
    <row r="106" spans="2:14" ht="15" customHeight="1">
      <c r="C106" s="1076" t="s">
        <v>2141</v>
      </c>
      <c r="G106" s="1042" t="s">
        <v>546</v>
      </c>
    </row>
    <row r="107" spans="2:14" ht="15" customHeight="1">
      <c r="C107" s="1076" t="s">
        <v>2142</v>
      </c>
      <c r="G107" s="1042"/>
    </row>
    <row r="108" spans="2:14" ht="15" customHeight="1"/>
    <row r="109" spans="2:14" ht="15" customHeight="1">
      <c r="B109" s="1077"/>
      <c r="C109" s="1076"/>
      <c r="E109" s="1083" t="s">
        <v>2001</v>
      </c>
      <c r="G109" s="1078" t="b">
        <f>COUNTIFS(G104:G107,"Yes")&gt;=1</f>
        <v>1</v>
      </c>
    </row>
    <row r="110" spans="2:14" ht="15" customHeight="1">
      <c r="E110" s="1076"/>
    </row>
    <row r="111" spans="2:14" ht="15" customHeight="1">
      <c r="E111" s="1083" t="s">
        <v>1998</v>
      </c>
      <c r="F111" s="1112" t="s">
        <v>1994</v>
      </c>
      <c r="G111" s="1113">
        <f>G29</f>
        <v>137</v>
      </c>
    </row>
    <row r="112" spans="2:14" ht="15" customHeight="1">
      <c r="E112" s="1083" t="s">
        <v>1946</v>
      </c>
      <c r="F112" s="1112" t="s">
        <v>1994</v>
      </c>
      <c r="G112" s="1123">
        <v>25000</v>
      </c>
    </row>
    <row r="113" spans="2:9" ht="15" customHeight="1">
      <c r="E113" s="1117" t="s">
        <v>1965</v>
      </c>
      <c r="F113" s="1045"/>
      <c r="G113" s="1122">
        <f>G109*G112*G96</f>
        <v>3425000</v>
      </c>
    </row>
    <row r="114" spans="2:9" ht="15" customHeight="1">
      <c r="C114" s="1076"/>
      <c r="E114" s="1076"/>
    </row>
    <row r="115" spans="2:9" ht="15" customHeight="1">
      <c r="E115" s="1117" t="s">
        <v>2274</v>
      </c>
      <c r="G115" s="1122">
        <f>G113+G101+G97</f>
        <v>10001000</v>
      </c>
    </row>
    <row r="116" spans="2:9" ht="15" customHeight="1"/>
    <row r="117" spans="2:9" ht="15" customHeight="1">
      <c r="B117" s="1065" t="s">
        <v>139</v>
      </c>
      <c r="C117" s="1066"/>
      <c r="D117" s="1066"/>
      <c r="E117" s="1066"/>
      <c r="F117" s="1066"/>
      <c r="G117" s="1066"/>
      <c r="H117" s="1066"/>
      <c r="I117" s="1067"/>
    </row>
    <row r="118" spans="2:9" ht="15" customHeight="1"/>
    <row r="119" spans="2:9" ht="15" customHeight="1">
      <c r="C119" s="2696" t="s">
        <v>2229</v>
      </c>
      <c r="D119" s="2696"/>
      <c r="E119" s="2696"/>
      <c r="F119" s="2696"/>
    </row>
    <row r="120" spans="2:9" ht="15" customHeight="1">
      <c r="C120" s="2696"/>
      <c r="D120" s="2696"/>
      <c r="E120" s="2696"/>
      <c r="F120" s="2696"/>
      <c r="G120" s="1042" t="s">
        <v>546</v>
      </c>
    </row>
    <row r="121" spans="2:9" ht="15" customHeight="1"/>
    <row r="122" spans="2:9" ht="15" customHeight="1">
      <c r="C122" s="1043" t="s">
        <v>2231</v>
      </c>
      <c r="G122" s="2698" t="s">
        <v>2738</v>
      </c>
      <c r="H122" s="2698"/>
    </row>
    <row r="123" spans="2:9" ht="15" customHeight="1">
      <c r="G123" s="2698"/>
      <c r="H123" s="2698"/>
    </row>
    <row r="124" spans="2:9" ht="15" customHeight="1">
      <c r="G124" s="2699"/>
      <c r="H124" s="2699"/>
    </row>
    <row r="125" spans="2:9" ht="15" customHeight="1">
      <c r="G125" s="1159"/>
      <c r="H125" s="1159"/>
    </row>
    <row r="126" spans="2:9" ht="15" customHeight="1">
      <c r="B126" s="1065" t="s">
        <v>2003</v>
      </c>
      <c r="C126" s="1066"/>
      <c r="D126" s="1066"/>
      <c r="E126" s="1066"/>
      <c r="F126" s="1066"/>
      <c r="G126" s="1066"/>
      <c r="H126" s="1066"/>
      <c r="I126" s="1067"/>
    </row>
    <row r="128" spans="2:9">
      <c r="E128" s="1083" t="s">
        <v>583</v>
      </c>
      <c r="G128" s="1043" t="str">
        <f>IF(Application!T189="","",Application!T189)</f>
        <v>Los Angeles</v>
      </c>
    </row>
    <row r="129" spans="2:9">
      <c r="E129" s="1083"/>
      <c r="G129" s="1077"/>
    </row>
    <row r="130" spans="2:9">
      <c r="E130" s="1083" t="str">
        <f>"2-Bedroom "&amp;G128&amp;" County Basis Limit"</f>
        <v>2-Bedroom Los Angeles County Basis Limit</v>
      </c>
      <c r="G130" s="1077">
        <f>Application!R988</f>
        <v>608800</v>
      </c>
    </row>
    <row r="131" spans="2:9">
      <c r="E131" s="1083" t="s">
        <v>2002</v>
      </c>
      <c r="G131" s="1077">
        <f>MEDIAN((Application!CU160:CU217))</f>
        <v>489600</v>
      </c>
    </row>
    <row r="132" spans="2:9" ht="15">
      <c r="D132" s="1045"/>
      <c r="E132" s="1117" t="s">
        <v>2004</v>
      </c>
      <c r="F132" s="1133"/>
      <c r="G132" s="1134">
        <f>((G130-G131)/G131)*0.25</f>
        <v>6.0866013071895424E-2</v>
      </c>
      <c r="H132" s="1041"/>
      <c r="I132" s="1041"/>
    </row>
    <row r="133" spans="2:9">
      <c r="D133" s="1044"/>
      <c r="E133" s="1044"/>
    </row>
    <row r="134" spans="2:9" ht="15">
      <c r="B134" s="1065" t="s">
        <v>2275</v>
      </c>
      <c r="C134" s="1066"/>
      <c r="D134" s="1066"/>
      <c r="E134" s="1066"/>
      <c r="F134" s="1066"/>
      <c r="G134" s="1066"/>
      <c r="H134" s="1066"/>
      <c r="I134" s="1067"/>
    </row>
    <row r="136" spans="2:9">
      <c r="E136" s="1083" t="s">
        <v>2261</v>
      </c>
      <c r="G136" s="1043" t="b">
        <f>G37</f>
        <v>0</v>
      </c>
    </row>
    <row r="137" spans="2:9">
      <c r="E137" s="1083" t="s">
        <v>2276</v>
      </c>
      <c r="G137" s="1043" t="b">
        <f>OR('Points System'!B52="Yes", 'Points System'!B56="Yes",'Points System'!B58="Yes")</f>
        <v>0</v>
      </c>
    </row>
    <row r="138" spans="2:9">
      <c r="C138" s="2693" t="s">
        <v>2277</v>
      </c>
      <c r="D138" s="2693"/>
      <c r="E138" s="2693"/>
      <c r="F138" s="2693"/>
    </row>
    <row r="139" spans="2:9">
      <c r="B139" s="1044"/>
      <c r="C139" s="2693"/>
      <c r="D139" s="2693"/>
      <c r="E139" s="2693"/>
      <c r="F139" s="2693"/>
      <c r="G139" s="1042"/>
    </row>
    <row r="140" spans="2:9">
      <c r="B140" s="1044"/>
      <c r="C140" s="1044"/>
      <c r="D140" s="1044"/>
      <c r="E140" s="1044"/>
      <c r="F140" s="1044"/>
    </row>
    <row r="141" spans="2:9" ht="14.25" customHeight="1">
      <c r="E141" s="1083" t="s">
        <v>2279</v>
      </c>
      <c r="G141" s="1168"/>
    </row>
    <row r="143" spans="2:9">
      <c r="E143" s="1083" t="s">
        <v>2281</v>
      </c>
      <c r="G143" s="1167">
        <f>IF(I9=0,0,G141/I9)</f>
        <v>0</v>
      </c>
    </row>
    <row r="144" spans="2:9">
      <c r="E144" s="1083" t="s">
        <v>2278</v>
      </c>
      <c r="G144" s="1165">
        <f>I9*0.15</f>
        <v>6673050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5" sqref="F5"/>
    </sheetView>
  </sheetViews>
  <sheetFormatPr defaultColWidth="9.140625" defaultRowHeight="14.25" zeroHeight="1"/>
  <cols>
    <col min="1" max="2" width="15.7109375" style="303" customWidth="1"/>
    <col min="3" max="3" width="11" style="303" customWidth="1"/>
    <col min="4" max="4" width="15.7109375" style="303" customWidth="1"/>
    <col min="5" max="5" width="3.7109375" style="303" customWidth="1"/>
    <col min="6" max="7" width="15.7109375" style="303" customWidth="1"/>
    <col min="8" max="8" width="3.7109375" style="303" customWidth="1"/>
    <col min="9" max="10" width="15.7109375" style="303" customWidth="1"/>
    <col min="11" max="11" width="3.28515625" style="303" customWidth="1"/>
    <col min="12" max="17" width="15.7109375" style="303" customWidth="1"/>
    <col min="18" max="16384" width="9.140625" style="303"/>
  </cols>
  <sheetData>
    <row r="1" spans="1:12">
      <c r="A1" s="2700" t="s">
        <v>910</v>
      </c>
      <c r="B1" s="2700"/>
      <c r="C1" s="2700"/>
      <c r="D1" s="2700"/>
      <c r="E1" s="2700"/>
      <c r="F1" s="2700"/>
      <c r="G1" s="2700"/>
      <c r="H1" s="2700"/>
      <c r="I1" s="2700"/>
      <c r="J1" s="2700"/>
      <c r="K1" s="204"/>
      <c r="L1" s="204"/>
    </row>
    <row r="2" spans="1:12">
      <c r="A2" s="210"/>
      <c r="B2" s="210"/>
      <c r="C2" s="210"/>
      <c r="D2" s="210"/>
      <c r="E2" s="210"/>
      <c r="F2" s="210"/>
      <c r="G2" s="210"/>
      <c r="H2" s="210"/>
      <c r="I2" s="210"/>
      <c r="J2" s="210"/>
    </row>
    <row r="3" spans="1:12" ht="100.5">
      <c r="A3" s="425" t="s">
        <v>911</v>
      </c>
      <c r="B3" s="425" t="s">
        <v>2256</v>
      </c>
      <c r="C3" s="425" t="s">
        <v>2257</v>
      </c>
      <c r="D3" s="1145" t="s">
        <v>2258</v>
      </c>
      <c r="E3" s="204"/>
      <c r="F3" s="1145" t="s">
        <v>912</v>
      </c>
      <c r="G3" s="425" t="s">
        <v>913</v>
      </c>
      <c r="H3" s="426"/>
      <c r="I3" s="425" t="s">
        <v>914</v>
      </c>
      <c r="J3" s="425" t="s">
        <v>915</v>
      </c>
      <c r="K3" s="204"/>
      <c r="L3" s="304"/>
    </row>
    <row r="4" spans="1:12">
      <c r="A4" s="427" t="str">
        <f>Application!B718</f>
        <v>SRO/Studio</v>
      </c>
      <c r="B4" s="1081">
        <f>Application!G718</f>
        <v>60</v>
      </c>
      <c r="C4" s="1161" t="s">
        <v>385</v>
      </c>
      <c r="D4" s="427">
        <f>Application!O718</f>
        <v>721</v>
      </c>
      <c r="E4" s="428"/>
      <c r="F4" s="1082">
        <f>1840-74</f>
        <v>1766</v>
      </c>
      <c r="G4" s="427">
        <f>F4*B4</f>
        <v>105960</v>
      </c>
      <c r="H4" s="428"/>
      <c r="I4" s="427">
        <f t="shared" ref="I4:I27" si="0">IF(F4=0,"",(F4-D4))</f>
        <v>1045</v>
      </c>
      <c r="J4" s="427">
        <f t="shared" ref="J4:J27" si="1">IF(F4=0,"",(I4*B4))</f>
        <v>62700</v>
      </c>
      <c r="K4" s="204"/>
      <c r="L4" s="304"/>
    </row>
    <row r="5" spans="1:12">
      <c r="A5" s="427" t="str">
        <f>Application!B719</f>
        <v>1 Bedroom</v>
      </c>
      <c r="B5" s="1081">
        <f>Application!G719</f>
        <v>15</v>
      </c>
      <c r="C5" s="1161" t="s">
        <v>385</v>
      </c>
      <c r="D5" s="427">
        <f>Application!O719</f>
        <v>755</v>
      </c>
      <c r="E5" s="428"/>
      <c r="F5" s="1082">
        <f>2096-97</f>
        <v>1999</v>
      </c>
      <c r="G5" s="427">
        <f t="shared" ref="G5:G38" si="2">F5*B5</f>
        <v>29985</v>
      </c>
      <c r="H5" s="428"/>
      <c r="I5" s="427">
        <f t="shared" si="0"/>
        <v>1244</v>
      </c>
      <c r="J5" s="427">
        <f t="shared" si="1"/>
        <v>18660</v>
      </c>
      <c r="K5" s="204"/>
      <c r="L5" s="304"/>
    </row>
    <row r="6" spans="1:12">
      <c r="A6" s="427" t="str">
        <f>Application!B720</f>
        <v>SRO/Studio</v>
      </c>
      <c r="B6" s="1081">
        <f>Application!G720</f>
        <v>60</v>
      </c>
      <c r="C6" s="1161"/>
      <c r="D6" s="427">
        <f>Application!O720</f>
        <v>1516</v>
      </c>
      <c r="E6" s="428"/>
      <c r="F6" s="1082"/>
      <c r="G6" s="427">
        <f t="shared" si="2"/>
        <v>0</v>
      </c>
      <c r="H6" s="428"/>
      <c r="I6" s="427" t="str">
        <f t="shared" si="0"/>
        <v/>
      </c>
      <c r="J6" s="427" t="str">
        <f t="shared" si="1"/>
        <v/>
      </c>
      <c r="K6" s="204"/>
      <c r="L6" s="304"/>
    </row>
    <row r="7" spans="1:12">
      <c r="A7" s="427" t="str">
        <f>Application!B721</f>
        <v>1 Bedroom</v>
      </c>
      <c r="B7" s="1081">
        <f>Application!G721</f>
        <v>14</v>
      </c>
      <c r="C7" s="1161"/>
      <c r="D7" s="427">
        <f>Application!O721</f>
        <v>1607</v>
      </c>
      <c r="E7" s="428"/>
      <c r="F7" s="1082"/>
      <c r="G7" s="427">
        <f t="shared" si="2"/>
        <v>0</v>
      </c>
      <c r="H7" s="428"/>
      <c r="I7" s="427" t="str">
        <f t="shared" si="0"/>
        <v/>
      </c>
      <c r="J7" s="427" t="str">
        <f t="shared" si="1"/>
        <v/>
      </c>
      <c r="K7" s="204"/>
      <c r="L7" s="304"/>
    </row>
    <row r="8" spans="1:12">
      <c r="A8" s="427">
        <f>Application!B722</f>
        <v>0</v>
      </c>
      <c r="B8" s="1081">
        <f>Application!G722</f>
        <v>0</v>
      </c>
      <c r="C8" s="1161"/>
      <c r="D8" s="427">
        <f>Application!O722</f>
        <v>0</v>
      </c>
      <c r="E8" s="428"/>
      <c r="F8" s="1082"/>
      <c r="G8" s="427">
        <f t="shared" si="2"/>
        <v>0</v>
      </c>
      <c r="H8" s="428"/>
      <c r="I8" s="427" t="str">
        <f t="shared" si="0"/>
        <v/>
      </c>
      <c r="J8" s="427" t="str">
        <f t="shared" si="1"/>
        <v/>
      </c>
      <c r="K8" s="204"/>
      <c r="L8" s="304"/>
    </row>
    <row r="9" spans="1:12">
      <c r="A9" s="427">
        <f>Application!B723</f>
        <v>0</v>
      </c>
      <c r="B9" s="1081">
        <f>Application!G723</f>
        <v>0</v>
      </c>
      <c r="C9" s="1161"/>
      <c r="D9" s="427">
        <f>Application!O723</f>
        <v>0</v>
      </c>
      <c r="E9" s="428"/>
      <c r="F9" s="1082"/>
      <c r="G9" s="427">
        <f t="shared" si="2"/>
        <v>0</v>
      </c>
      <c r="H9" s="428"/>
      <c r="I9" s="427" t="str">
        <f t="shared" si="0"/>
        <v/>
      </c>
      <c r="J9" s="427" t="str">
        <f t="shared" si="1"/>
        <v/>
      </c>
      <c r="K9" s="204"/>
      <c r="L9" s="304"/>
    </row>
    <row r="10" spans="1:12">
      <c r="A10" s="427">
        <f>Application!B724</f>
        <v>0</v>
      </c>
      <c r="B10" s="1081">
        <f>Application!G724</f>
        <v>0</v>
      </c>
      <c r="C10" s="1161"/>
      <c r="D10" s="427">
        <f>Application!O724</f>
        <v>0</v>
      </c>
      <c r="E10" s="428"/>
      <c r="F10" s="1082"/>
      <c r="G10" s="427">
        <f t="shared" si="2"/>
        <v>0</v>
      </c>
      <c r="H10" s="428"/>
      <c r="I10" s="427" t="str">
        <f t="shared" si="0"/>
        <v/>
      </c>
      <c r="J10" s="427" t="str">
        <f t="shared" si="1"/>
        <v/>
      </c>
      <c r="K10" s="204"/>
      <c r="L10" s="304"/>
    </row>
    <row r="11" spans="1:12">
      <c r="A11" s="427">
        <f>Application!B725</f>
        <v>0</v>
      </c>
      <c r="B11" s="1081">
        <f>Application!G725</f>
        <v>0</v>
      </c>
      <c r="C11" s="1161"/>
      <c r="D11" s="427">
        <f>Application!O725</f>
        <v>0</v>
      </c>
      <c r="E11" s="428"/>
      <c r="F11" s="1082"/>
      <c r="G11" s="427">
        <f t="shared" si="2"/>
        <v>0</v>
      </c>
      <c r="H11" s="428"/>
      <c r="I11" s="427" t="str">
        <f t="shared" si="0"/>
        <v/>
      </c>
      <c r="J11" s="427" t="str">
        <f t="shared" si="1"/>
        <v/>
      </c>
      <c r="K11" s="204"/>
      <c r="L11" s="304"/>
    </row>
    <row r="12" spans="1:12">
      <c r="A12" s="427">
        <f>Application!B726</f>
        <v>0</v>
      </c>
      <c r="B12" s="1081">
        <f>Application!G726</f>
        <v>0</v>
      </c>
      <c r="C12" s="1161"/>
      <c r="D12" s="427">
        <f>Application!O726</f>
        <v>0</v>
      </c>
      <c r="E12" s="428"/>
      <c r="F12" s="1082"/>
      <c r="G12" s="427">
        <f t="shared" si="2"/>
        <v>0</v>
      </c>
      <c r="H12" s="428"/>
      <c r="I12" s="427" t="str">
        <f t="shared" si="0"/>
        <v/>
      </c>
      <c r="J12" s="427" t="str">
        <f t="shared" si="1"/>
        <v/>
      </c>
      <c r="K12" s="204"/>
      <c r="L12" s="304"/>
    </row>
    <row r="13" spans="1:12">
      <c r="A13" s="427">
        <f>Application!B727</f>
        <v>0</v>
      </c>
      <c r="B13" s="1081">
        <f>Application!G727</f>
        <v>0</v>
      </c>
      <c r="C13" s="1161"/>
      <c r="D13" s="427">
        <f>Application!O727</f>
        <v>0</v>
      </c>
      <c r="E13" s="428"/>
      <c r="F13" s="1082"/>
      <c r="G13" s="427">
        <f t="shared" si="2"/>
        <v>0</v>
      </c>
      <c r="H13" s="428"/>
      <c r="I13" s="427" t="str">
        <f t="shared" si="0"/>
        <v/>
      </c>
      <c r="J13" s="427" t="str">
        <f t="shared" si="1"/>
        <v/>
      </c>
      <c r="K13" s="204"/>
      <c r="L13" s="304"/>
    </row>
    <row r="14" spans="1:12">
      <c r="A14" s="427">
        <f>Application!B728</f>
        <v>0</v>
      </c>
      <c r="B14" s="1081">
        <f>Application!G728</f>
        <v>0</v>
      </c>
      <c r="C14" s="1161"/>
      <c r="D14" s="427">
        <f>Application!O728</f>
        <v>0</v>
      </c>
      <c r="E14" s="428"/>
      <c r="F14" s="1082"/>
      <c r="G14" s="427">
        <f t="shared" si="2"/>
        <v>0</v>
      </c>
      <c r="H14" s="428"/>
      <c r="I14" s="427" t="str">
        <f t="shared" si="0"/>
        <v/>
      </c>
      <c r="J14" s="427" t="str">
        <f t="shared" si="1"/>
        <v/>
      </c>
      <c r="K14" s="204"/>
      <c r="L14" s="304"/>
    </row>
    <row r="15" spans="1:12">
      <c r="A15" s="427">
        <f>Application!B729</f>
        <v>0</v>
      </c>
      <c r="B15" s="1081">
        <f>Application!G729</f>
        <v>0</v>
      </c>
      <c r="C15" s="1161"/>
      <c r="D15" s="427">
        <f>Application!O729</f>
        <v>0</v>
      </c>
      <c r="E15" s="428"/>
      <c r="F15" s="1082"/>
      <c r="G15" s="427">
        <f t="shared" si="2"/>
        <v>0</v>
      </c>
      <c r="H15" s="428"/>
      <c r="I15" s="427" t="str">
        <f t="shared" si="0"/>
        <v/>
      </c>
      <c r="J15" s="427" t="str">
        <f t="shared" si="1"/>
        <v/>
      </c>
      <c r="K15" s="204"/>
      <c r="L15" s="304"/>
    </row>
    <row r="16" spans="1:12">
      <c r="A16" s="427">
        <f>Application!B730</f>
        <v>0</v>
      </c>
      <c r="B16" s="1081">
        <f>Application!G730</f>
        <v>0</v>
      </c>
      <c r="C16" s="1161"/>
      <c r="D16" s="427">
        <f>Application!O730</f>
        <v>0</v>
      </c>
      <c r="E16" s="428"/>
      <c r="F16" s="1082"/>
      <c r="G16" s="427">
        <f t="shared" si="2"/>
        <v>0</v>
      </c>
      <c r="H16" s="428"/>
      <c r="I16" s="427" t="str">
        <f t="shared" si="0"/>
        <v/>
      </c>
      <c r="J16" s="427" t="str">
        <f t="shared" si="1"/>
        <v/>
      </c>
      <c r="K16" s="204"/>
      <c r="L16" s="304"/>
    </row>
    <row r="17" spans="1:12">
      <c r="A17" s="427">
        <f>Application!B731</f>
        <v>0</v>
      </c>
      <c r="B17" s="1081">
        <f>Application!G731</f>
        <v>0</v>
      </c>
      <c r="C17" s="1161"/>
      <c r="D17" s="427">
        <f>Application!O731</f>
        <v>0</v>
      </c>
      <c r="E17" s="428"/>
      <c r="F17" s="1082"/>
      <c r="G17" s="427">
        <f t="shared" si="2"/>
        <v>0</v>
      </c>
      <c r="H17" s="428"/>
      <c r="I17" s="427" t="str">
        <f t="shared" si="0"/>
        <v/>
      </c>
      <c r="J17" s="427" t="str">
        <f t="shared" si="1"/>
        <v/>
      </c>
      <c r="K17" s="204"/>
      <c r="L17" s="304"/>
    </row>
    <row r="18" spans="1:12">
      <c r="A18" s="427">
        <f>Application!B732</f>
        <v>0</v>
      </c>
      <c r="B18" s="1081">
        <f>Application!G732</f>
        <v>0</v>
      </c>
      <c r="C18" s="1161"/>
      <c r="D18" s="427">
        <f>Application!O732</f>
        <v>0</v>
      </c>
      <c r="E18" s="428"/>
      <c r="F18" s="1082"/>
      <c r="G18" s="427">
        <f t="shared" si="2"/>
        <v>0</v>
      </c>
      <c r="H18" s="428"/>
      <c r="I18" s="427" t="str">
        <f t="shared" si="0"/>
        <v/>
      </c>
      <c r="J18" s="427" t="str">
        <f t="shared" si="1"/>
        <v/>
      </c>
      <c r="K18" s="204"/>
      <c r="L18" s="304"/>
    </row>
    <row r="19" spans="1:12">
      <c r="A19" s="427">
        <f>Application!B733</f>
        <v>0</v>
      </c>
      <c r="B19" s="1081">
        <f>Application!G733</f>
        <v>0</v>
      </c>
      <c r="C19" s="1161"/>
      <c r="D19" s="427">
        <f>Application!O733</f>
        <v>0</v>
      </c>
      <c r="E19" s="428"/>
      <c r="F19" s="1082"/>
      <c r="G19" s="427">
        <f t="shared" si="2"/>
        <v>0</v>
      </c>
      <c r="H19" s="428"/>
      <c r="I19" s="427" t="str">
        <f t="shared" si="0"/>
        <v/>
      </c>
      <c r="J19" s="427" t="str">
        <f t="shared" si="1"/>
        <v/>
      </c>
      <c r="K19" s="204"/>
      <c r="L19" s="304"/>
    </row>
    <row r="20" spans="1:12">
      <c r="A20" s="427">
        <f>Application!B734</f>
        <v>0</v>
      </c>
      <c r="B20" s="1081">
        <f>Application!G734</f>
        <v>0</v>
      </c>
      <c r="C20" s="1161"/>
      <c r="D20" s="427">
        <f>Application!O734</f>
        <v>0</v>
      </c>
      <c r="E20" s="428"/>
      <c r="F20" s="1082"/>
      <c r="G20" s="427">
        <f t="shared" si="2"/>
        <v>0</v>
      </c>
      <c r="H20" s="428"/>
      <c r="I20" s="427" t="str">
        <f t="shared" si="0"/>
        <v/>
      </c>
      <c r="J20" s="427" t="str">
        <f t="shared" si="1"/>
        <v/>
      </c>
      <c r="K20" s="204"/>
      <c r="L20" s="304"/>
    </row>
    <row r="21" spans="1:12">
      <c r="A21" s="427">
        <f>Application!B735</f>
        <v>0</v>
      </c>
      <c r="B21" s="1081">
        <f>Application!G735</f>
        <v>0</v>
      </c>
      <c r="C21" s="1161"/>
      <c r="D21" s="427">
        <f>Application!O735</f>
        <v>0</v>
      </c>
      <c r="E21" s="428"/>
      <c r="F21" s="1082"/>
      <c r="G21" s="427">
        <f t="shared" si="2"/>
        <v>0</v>
      </c>
      <c r="H21" s="428"/>
      <c r="I21" s="427" t="str">
        <f t="shared" si="0"/>
        <v/>
      </c>
      <c r="J21" s="427" t="str">
        <f t="shared" si="1"/>
        <v/>
      </c>
      <c r="K21" s="204"/>
      <c r="L21" s="304"/>
    </row>
    <row r="22" spans="1:12">
      <c r="A22" s="427">
        <f>Application!B736</f>
        <v>0</v>
      </c>
      <c r="B22" s="1081">
        <f>Application!G736</f>
        <v>0</v>
      </c>
      <c r="C22" s="1161"/>
      <c r="D22" s="427">
        <f>Application!O736</f>
        <v>0</v>
      </c>
      <c r="E22" s="428"/>
      <c r="F22" s="1082"/>
      <c r="G22" s="427">
        <f t="shared" si="2"/>
        <v>0</v>
      </c>
      <c r="H22" s="428"/>
      <c r="I22" s="427" t="str">
        <f t="shared" si="0"/>
        <v/>
      </c>
      <c r="J22" s="427" t="str">
        <f t="shared" si="1"/>
        <v/>
      </c>
      <c r="K22" s="204"/>
      <c r="L22" s="304"/>
    </row>
    <row r="23" spans="1:12">
      <c r="A23" s="427">
        <f>Application!B737</f>
        <v>0</v>
      </c>
      <c r="B23" s="1081">
        <f>Application!G737</f>
        <v>0</v>
      </c>
      <c r="C23" s="1161"/>
      <c r="D23" s="427">
        <f>Application!O737</f>
        <v>0</v>
      </c>
      <c r="E23" s="428"/>
      <c r="F23" s="1082"/>
      <c r="G23" s="427">
        <f t="shared" si="2"/>
        <v>0</v>
      </c>
      <c r="H23" s="428"/>
      <c r="I23" s="427" t="str">
        <f t="shared" si="0"/>
        <v/>
      </c>
      <c r="J23" s="427" t="str">
        <f t="shared" si="1"/>
        <v/>
      </c>
      <c r="K23" s="204"/>
      <c r="L23" s="304"/>
    </row>
    <row r="24" spans="1:12">
      <c r="A24" s="427">
        <f>Application!B738</f>
        <v>0</v>
      </c>
      <c r="B24" s="1081">
        <f>Application!G738</f>
        <v>0</v>
      </c>
      <c r="C24" s="1161"/>
      <c r="D24" s="427">
        <f>Application!O738</f>
        <v>0</v>
      </c>
      <c r="E24" s="428"/>
      <c r="F24" s="1082"/>
      <c r="G24" s="427">
        <f t="shared" si="2"/>
        <v>0</v>
      </c>
      <c r="H24" s="428"/>
      <c r="I24" s="427" t="str">
        <f t="shared" si="0"/>
        <v/>
      </c>
      <c r="J24" s="427" t="str">
        <f t="shared" si="1"/>
        <v/>
      </c>
      <c r="K24" s="204"/>
      <c r="L24" s="304"/>
    </row>
    <row r="25" spans="1:12">
      <c r="A25" s="427">
        <f>Application!B739</f>
        <v>0</v>
      </c>
      <c r="B25" s="1081">
        <f>Application!G739</f>
        <v>0</v>
      </c>
      <c r="C25" s="1161"/>
      <c r="D25" s="427">
        <f>Application!O739</f>
        <v>0</v>
      </c>
      <c r="E25" s="428"/>
      <c r="F25" s="1082"/>
      <c r="G25" s="427">
        <f t="shared" si="2"/>
        <v>0</v>
      </c>
      <c r="H25" s="428"/>
      <c r="I25" s="427" t="str">
        <f t="shared" si="0"/>
        <v/>
      </c>
      <c r="J25" s="427" t="str">
        <f t="shared" si="1"/>
        <v/>
      </c>
      <c r="K25" s="204"/>
      <c r="L25" s="304"/>
    </row>
    <row r="26" spans="1:12">
      <c r="A26" s="427">
        <f>Application!B740</f>
        <v>0</v>
      </c>
      <c r="B26" s="1081">
        <f>Application!G740</f>
        <v>0</v>
      </c>
      <c r="C26" s="1161"/>
      <c r="D26" s="427">
        <f>Application!O740</f>
        <v>0</v>
      </c>
      <c r="E26" s="428"/>
      <c r="F26" s="1082"/>
      <c r="G26" s="427">
        <f t="shared" si="2"/>
        <v>0</v>
      </c>
      <c r="H26" s="428"/>
      <c r="I26" s="427" t="str">
        <f t="shared" si="0"/>
        <v/>
      </c>
      <c r="J26" s="427" t="str">
        <f t="shared" si="1"/>
        <v/>
      </c>
      <c r="K26" s="204"/>
      <c r="L26" s="304"/>
    </row>
    <row r="27" spans="1:12">
      <c r="A27" s="427">
        <f>Application!B741</f>
        <v>0</v>
      </c>
      <c r="B27" s="1081">
        <f>Application!G741</f>
        <v>0</v>
      </c>
      <c r="C27" s="1161"/>
      <c r="D27" s="427">
        <f>Application!O741</f>
        <v>0</v>
      </c>
      <c r="E27" s="428"/>
      <c r="F27" s="1082"/>
      <c r="G27" s="427">
        <f t="shared" si="2"/>
        <v>0</v>
      </c>
      <c r="H27" s="428"/>
      <c r="I27" s="427" t="str">
        <f t="shared" si="0"/>
        <v/>
      </c>
      <c r="J27" s="427" t="str">
        <f t="shared" si="1"/>
        <v/>
      </c>
      <c r="K27" s="204"/>
      <c r="L27" s="304"/>
    </row>
    <row r="28" spans="1:12">
      <c r="A28" s="427">
        <f>Application!B742</f>
        <v>0</v>
      </c>
      <c r="B28" s="1081">
        <f>Application!G742</f>
        <v>0</v>
      </c>
      <c r="C28" s="1161"/>
      <c r="D28" s="427">
        <f>Application!O742</f>
        <v>0</v>
      </c>
      <c r="E28" s="428"/>
      <c r="F28" s="1082"/>
      <c r="G28" s="427">
        <f t="shared" si="2"/>
        <v>0</v>
      </c>
      <c r="H28" s="428"/>
      <c r="I28" s="427" t="str">
        <f t="shared" ref="I28:I37" si="3">IF(F28=0,"",(F28-D28))</f>
        <v/>
      </c>
      <c r="J28" s="427" t="str">
        <f t="shared" ref="J28:J37" si="4">IF(F28=0,"",(I28*B28))</f>
        <v/>
      </c>
      <c r="K28" s="204"/>
      <c r="L28" s="304"/>
    </row>
    <row r="29" spans="1:12">
      <c r="A29" s="427">
        <f>Application!B743</f>
        <v>0</v>
      </c>
      <c r="B29" s="1081">
        <f>Application!G743</f>
        <v>0</v>
      </c>
      <c r="C29" s="1161"/>
      <c r="D29" s="427">
        <f>Application!O743</f>
        <v>0</v>
      </c>
      <c r="E29" s="428"/>
      <c r="F29" s="1082"/>
      <c r="G29" s="427">
        <f t="shared" si="2"/>
        <v>0</v>
      </c>
      <c r="H29" s="428"/>
      <c r="I29" s="427" t="str">
        <f t="shared" si="3"/>
        <v/>
      </c>
      <c r="J29" s="427" t="str">
        <f t="shared" si="4"/>
        <v/>
      </c>
      <c r="K29" s="204"/>
      <c r="L29" s="304"/>
    </row>
    <row r="30" spans="1:12">
      <c r="A30" s="427">
        <f>Application!B744</f>
        <v>0</v>
      </c>
      <c r="B30" s="1081">
        <f>Application!G744</f>
        <v>0</v>
      </c>
      <c r="C30" s="1161"/>
      <c r="D30" s="427">
        <f>Application!O744</f>
        <v>0</v>
      </c>
      <c r="E30" s="428"/>
      <c r="F30" s="1082"/>
      <c r="G30" s="427">
        <f t="shared" si="2"/>
        <v>0</v>
      </c>
      <c r="H30" s="428"/>
      <c r="I30" s="427" t="str">
        <f t="shared" si="3"/>
        <v/>
      </c>
      <c r="J30" s="427" t="str">
        <f t="shared" si="4"/>
        <v/>
      </c>
      <c r="K30" s="204"/>
      <c r="L30" s="304"/>
    </row>
    <row r="31" spans="1:12">
      <c r="A31" s="427">
        <f>Application!B745</f>
        <v>0</v>
      </c>
      <c r="B31" s="1081">
        <f>Application!G745</f>
        <v>0</v>
      </c>
      <c r="C31" s="1161"/>
      <c r="D31" s="427">
        <f>Application!O745</f>
        <v>0</v>
      </c>
      <c r="E31" s="428"/>
      <c r="F31" s="1082"/>
      <c r="G31" s="427">
        <f t="shared" si="2"/>
        <v>0</v>
      </c>
      <c r="H31" s="428"/>
      <c r="I31" s="427" t="str">
        <f t="shared" si="3"/>
        <v/>
      </c>
      <c r="J31" s="427" t="str">
        <f t="shared" si="4"/>
        <v/>
      </c>
      <c r="K31" s="204"/>
      <c r="L31" s="304"/>
    </row>
    <row r="32" spans="1:12">
      <c r="A32" s="427">
        <f>Application!B746</f>
        <v>0</v>
      </c>
      <c r="B32" s="1081">
        <f>Application!G746</f>
        <v>0</v>
      </c>
      <c r="C32" s="1161"/>
      <c r="D32" s="427">
        <f>Application!O746</f>
        <v>0</v>
      </c>
      <c r="E32" s="428"/>
      <c r="F32" s="1082"/>
      <c r="G32" s="427">
        <f t="shared" si="2"/>
        <v>0</v>
      </c>
      <c r="H32" s="428"/>
      <c r="I32" s="427" t="str">
        <f t="shared" si="3"/>
        <v/>
      </c>
      <c r="J32" s="427" t="str">
        <f t="shared" si="4"/>
        <v/>
      </c>
      <c r="K32" s="204"/>
      <c r="L32" s="304"/>
    </row>
    <row r="33" spans="1:12">
      <c r="A33" s="427">
        <f>Application!B747</f>
        <v>0</v>
      </c>
      <c r="B33" s="1081">
        <f>Application!G747</f>
        <v>0</v>
      </c>
      <c r="C33" s="1161"/>
      <c r="D33" s="427">
        <f>Application!O747</f>
        <v>0</v>
      </c>
      <c r="E33" s="428"/>
      <c r="F33" s="1082"/>
      <c r="G33" s="427">
        <f t="shared" si="2"/>
        <v>0</v>
      </c>
      <c r="H33" s="428"/>
      <c r="I33" s="427" t="str">
        <f t="shared" si="3"/>
        <v/>
      </c>
      <c r="J33" s="427" t="str">
        <f t="shared" si="4"/>
        <v/>
      </c>
      <c r="K33" s="204"/>
      <c r="L33" s="304"/>
    </row>
    <row r="34" spans="1:12">
      <c r="A34" s="427">
        <f>Application!B748</f>
        <v>0</v>
      </c>
      <c r="B34" s="1081">
        <f>Application!G748</f>
        <v>0</v>
      </c>
      <c r="C34" s="1161"/>
      <c r="D34" s="427">
        <f>Application!O748</f>
        <v>0</v>
      </c>
      <c r="E34" s="428"/>
      <c r="F34" s="1082"/>
      <c r="G34" s="427">
        <f t="shared" si="2"/>
        <v>0</v>
      </c>
      <c r="H34" s="428"/>
      <c r="I34" s="427" t="str">
        <f t="shared" si="3"/>
        <v/>
      </c>
      <c r="J34" s="427" t="str">
        <f t="shared" si="4"/>
        <v/>
      </c>
      <c r="K34" s="204"/>
      <c r="L34" s="304"/>
    </row>
    <row r="35" spans="1:12">
      <c r="A35" s="427">
        <f>Application!B749</f>
        <v>0</v>
      </c>
      <c r="B35" s="1081">
        <f>Application!G749</f>
        <v>0</v>
      </c>
      <c r="C35" s="1161"/>
      <c r="D35" s="427">
        <f>Application!O749</f>
        <v>0</v>
      </c>
      <c r="E35" s="428"/>
      <c r="F35" s="1082"/>
      <c r="G35" s="427">
        <f t="shared" si="2"/>
        <v>0</v>
      </c>
      <c r="H35" s="428"/>
      <c r="I35" s="427" t="str">
        <f t="shared" si="3"/>
        <v/>
      </c>
      <c r="J35" s="427" t="str">
        <f t="shared" si="4"/>
        <v/>
      </c>
      <c r="K35" s="204"/>
      <c r="L35" s="304"/>
    </row>
    <row r="36" spans="1:12">
      <c r="A36" s="427">
        <f>Application!B750</f>
        <v>0</v>
      </c>
      <c r="B36" s="1081">
        <f>Application!G750</f>
        <v>0</v>
      </c>
      <c r="C36" s="1161"/>
      <c r="D36" s="427">
        <f>Application!O750</f>
        <v>0</v>
      </c>
      <c r="E36" s="428"/>
      <c r="F36" s="1082"/>
      <c r="G36" s="427">
        <f t="shared" si="2"/>
        <v>0</v>
      </c>
      <c r="H36" s="428"/>
      <c r="I36" s="427" t="str">
        <f t="shared" si="3"/>
        <v/>
      </c>
      <c r="J36" s="427" t="str">
        <f t="shared" si="4"/>
        <v/>
      </c>
      <c r="K36" s="204"/>
      <c r="L36" s="304"/>
    </row>
    <row r="37" spans="1:12">
      <c r="A37" s="427">
        <f>Application!B751</f>
        <v>0</v>
      </c>
      <c r="B37" s="1081">
        <f>Application!G751</f>
        <v>0</v>
      </c>
      <c r="C37" s="1161"/>
      <c r="D37" s="427">
        <f>Application!O751</f>
        <v>0</v>
      </c>
      <c r="E37" s="428"/>
      <c r="F37" s="1082"/>
      <c r="G37" s="427">
        <f t="shared" si="2"/>
        <v>0</v>
      </c>
      <c r="H37" s="428"/>
      <c r="I37" s="427" t="str">
        <f t="shared" si="3"/>
        <v/>
      </c>
      <c r="J37" s="427" t="str">
        <f t="shared" si="4"/>
        <v/>
      </c>
      <c r="K37" s="204"/>
      <c r="L37" s="304"/>
    </row>
    <row r="38" spans="1:12">
      <c r="A38" s="427">
        <f>Application!B752</f>
        <v>0</v>
      </c>
      <c r="B38" s="1081">
        <f>Application!G752</f>
        <v>0</v>
      </c>
      <c r="C38" s="1161"/>
      <c r="D38" s="427">
        <f>Application!O752</f>
        <v>0</v>
      </c>
      <c r="E38" s="428"/>
      <c r="F38" s="1082"/>
      <c r="G38" s="427">
        <f t="shared" si="2"/>
        <v>0</v>
      </c>
      <c r="H38" s="428"/>
      <c r="I38" s="427" t="str">
        <f>IF(F38=0,"",(F38-D38))</f>
        <v/>
      </c>
      <c r="J38" s="427" t="str">
        <f>IF(F38=0,"",(I38*B38))</f>
        <v/>
      </c>
      <c r="K38" s="204"/>
      <c r="L38" s="304"/>
    </row>
    <row r="39" spans="1:12">
      <c r="A39" s="204"/>
      <c r="B39" s="204"/>
      <c r="C39" s="204"/>
      <c r="D39" s="428"/>
      <c r="E39" s="428"/>
      <c r="F39" s="428"/>
      <c r="G39" s="428"/>
      <c r="H39" s="428"/>
      <c r="I39" s="428"/>
      <c r="J39" s="204"/>
      <c r="K39" s="204"/>
      <c r="L39" s="304"/>
    </row>
    <row r="40" spans="1:12" ht="15">
      <c r="A40" s="429" t="s">
        <v>916</v>
      </c>
      <c r="B40" s="430"/>
      <c r="C40" s="430"/>
      <c r="D40" s="431">
        <f>Application!O753</f>
        <v>168043</v>
      </c>
      <c r="E40" s="428"/>
      <c r="F40" s="428"/>
      <c r="G40" s="431">
        <f>SUM(G4:G38)*12</f>
        <v>1631340</v>
      </c>
      <c r="H40" s="432"/>
      <c r="I40" s="430"/>
      <c r="J40" s="431">
        <f>SUM(J4:J38)*12</f>
        <v>976320</v>
      </c>
      <c r="K40" s="204"/>
      <c r="L40" s="305"/>
    </row>
    <row r="41" spans="1:12" ht="15">
      <c r="A41" s="429"/>
      <c r="B41" s="430"/>
      <c r="C41" s="430"/>
      <c r="D41" s="432"/>
      <c r="E41" s="428"/>
      <c r="F41" s="428"/>
      <c r="G41" s="432"/>
      <c r="H41" s="432"/>
      <c r="I41" s="430"/>
      <c r="J41" s="432"/>
      <c r="K41" s="204"/>
      <c r="L41" s="305"/>
    </row>
    <row r="42" spans="1:12">
      <c r="A42" s="303" t="s">
        <v>2259</v>
      </c>
    </row>
    <row r="43" spans="1:12">
      <c r="A43" s="2701" t="s">
        <v>2498</v>
      </c>
      <c r="B43" s="2701"/>
      <c r="C43" s="2701"/>
      <c r="D43" s="2701"/>
      <c r="E43" s="2701"/>
      <c r="F43" s="2701"/>
      <c r="G43" s="2701"/>
      <c r="H43" s="2701"/>
      <c r="I43" s="2701"/>
      <c r="J43" s="2701"/>
    </row>
    <row r="44" spans="1:12">
      <c r="A44" s="2701"/>
      <c r="B44" s="2701"/>
      <c r="C44" s="2701"/>
      <c r="D44" s="2701"/>
      <c r="E44" s="2701"/>
      <c r="F44" s="2701"/>
      <c r="G44" s="2701"/>
      <c r="H44" s="2701"/>
      <c r="I44" s="2701"/>
      <c r="J44" s="2701"/>
    </row>
    <row r="45" spans="1:12">
      <c r="A45" s="2701" t="s">
        <v>2260</v>
      </c>
      <c r="B45" s="2701"/>
      <c r="C45" s="2701"/>
      <c r="D45" s="2701"/>
      <c r="E45" s="2701"/>
      <c r="F45" s="2701"/>
      <c r="G45" s="2701"/>
      <c r="H45" s="2701"/>
      <c r="I45" s="2701"/>
      <c r="J45" s="2701"/>
    </row>
    <row r="46" spans="1:12">
      <c r="A46" s="2701"/>
      <c r="B46" s="2701"/>
      <c r="C46" s="2701"/>
      <c r="D46" s="2701"/>
      <c r="E46" s="2701"/>
      <c r="F46" s="2701"/>
      <c r="G46" s="2701"/>
      <c r="H46" s="2701"/>
      <c r="I46" s="2701"/>
      <c r="J46" s="270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C4" sqref="C4"/>
    </sheetView>
  </sheetViews>
  <sheetFormatPr defaultColWidth="0" defaultRowHeight="12.75" zeroHeight="1"/>
  <cols>
    <col min="1" max="1" width="3.7109375" customWidth="1"/>
    <col min="2" max="2" width="30.42578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2016516</v>
      </c>
      <c r="G4" s="219">
        <f>E4*$C$4</f>
        <v>2066928.9</v>
      </c>
      <c r="I4" s="219">
        <f>G4*$C$4</f>
        <v>2118602.1224999996</v>
      </c>
      <c r="K4" s="219">
        <f>I4*$C$4</f>
        <v>2171567.1755624996</v>
      </c>
      <c r="M4" s="219">
        <f>K4*$C$4</f>
        <v>2225856.3549515619</v>
      </c>
      <c r="O4" s="219">
        <f>M4*$C$4</f>
        <v>2281502.7638253509</v>
      </c>
      <c r="Q4" s="219">
        <f>O4*$C$4</f>
        <v>2338540.3329209844</v>
      </c>
      <c r="S4" s="219">
        <f>Q4*$C$4</f>
        <v>2397003.8412440089</v>
      </c>
      <c r="U4" s="219">
        <f>S4*$C$4</f>
        <v>2456928.9372751089</v>
      </c>
      <c r="W4" s="219">
        <f>U4*$C$4</f>
        <v>2518352.1607069862</v>
      </c>
      <c r="Y4" s="219">
        <f>W4*$C$4</f>
        <v>2581310.9647246609</v>
      </c>
      <c r="AA4" s="219">
        <f>Y4*$C$4</f>
        <v>2645843.738842777</v>
      </c>
      <c r="AC4" s="219">
        <f>AA4*$C$4</f>
        <v>2711989.8323138463</v>
      </c>
      <c r="AE4" s="219">
        <f>AC4*$C$4</f>
        <v>2779789.5781216924</v>
      </c>
      <c r="AG4" s="219">
        <f>AE4*$C$4</f>
        <v>2849284.3175747343</v>
      </c>
    </row>
    <row r="5" spans="1:34" s="210" customFormat="1" ht="14.25">
      <c r="B5" s="210" t="s">
        <v>839</v>
      </c>
      <c r="C5" s="238">
        <f>(IF(Application!$D$211="Special Needs",(((0.1*Application!$T$212)+(0.05*(1-Application!$T$212)))),0.05))*0+(Application!G718+Application!G719)/Application!O756*0.1+(Application!G720+Application!G721)/Application!O756*0.05</f>
        <v>7.5167785234899337E-2</v>
      </c>
      <c r="E5" s="221">
        <f>-E4*$C$5</f>
        <v>-151577.04161073826</v>
      </c>
      <c r="F5" s="221"/>
      <c r="G5" s="221">
        <f>-G4*$C$5</f>
        <v>-155366.46765100671</v>
      </c>
      <c r="H5" s="221"/>
      <c r="I5" s="221">
        <f>-I4*$C$5</f>
        <v>-159250.62934228187</v>
      </c>
      <c r="J5" s="221"/>
      <c r="K5" s="221">
        <f>-K4*$C$5</f>
        <v>-163231.8950758389</v>
      </c>
      <c r="L5" s="221"/>
      <c r="M5" s="221">
        <f>-M4*$C$5</f>
        <v>-167312.69245273486</v>
      </c>
      <c r="N5" s="221"/>
      <c r="O5" s="221">
        <f>-O4*$C$5</f>
        <v>-171495.50976405325</v>
      </c>
      <c r="P5" s="221"/>
      <c r="Q5" s="221">
        <f>-Q4*$C$5</f>
        <v>-175782.89750815454</v>
      </c>
      <c r="R5" s="221"/>
      <c r="S5" s="221">
        <f>-S4*$C$5</f>
        <v>-180177.46994585841</v>
      </c>
      <c r="T5" s="221"/>
      <c r="U5" s="221">
        <f>-U4*$C$5</f>
        <v>-184681.90669450484</v>
      </c>
      <c r="V5" s="221"/>
      <c r="W5" s="221">
        <f>-W4*$C$5</f>
        <v>-189298.95436186745</v>
      </c>
      <c r="X5" s="221"/>
      <c r="Y5" s="221">
        <f>-Y4*$C$5</f>
        <v>-194031.42822091412</v>
      </c>
      <c r="Z5" s="221"/>
      <c r="AA5" s="221">
        <f>-AA4*$C$5</f>
        <v>-198882.21392643696</v>
      </c>
      <c r="AB5" s="221"/>
      <c r="AC5" s="221">
        <f>-AC4*$C$5</f>
        <v>-203854.26927459787</v>
      </c>
      <c r="AD5" s="221"/>
      <c r="AE5" s="221">
        <f>-AE4*$C$5</f>
        <v>-208950.62600646281</v>
      </c>
      <c r="AF5" s="221"/>
      <c r="AG5" s="221">
        <f>-AG4*$C$5</f>
        <v>-214174.39165662436</v>
      </c>
    </row>
    <row r="6" spans="1:34" s="210" customFormat="1" ht="14.25">
      <c r="A6" s="210" t="s">
        <v>837</v>
      </c>
      <c r="C6" s="237">
        <v>1.0249999999999999</v>
      </c>
      <c r="E6" s="222">
        <f>Application!Z809</f>
        <v>976320</v>
      </c>
      <c r="F6" s="222"/>
      <c r="G6" s="222">
        <f>E6*$C$6</f>
        <v>1000727.9999999999</v>
      </c>
      <c r="H6" s="222"/>
      <c r="I6" s="222">
        <f>G6*$C$6</f>
        <v>1025746.1999999998</v>
      </c>
      <c r="J6" s="222"/>
      <c r="K6" s="222">
        <f>I6*$C$6</f>
        <v>1051389.8549999997</v>
      </c>
      <c r="L6" s="222"/>
      <c r="M6" s="222">
        <f>K6*$C$6</f>
        <v>1077674.6013749996</v>
      </c>
      <c r="N6" s="222"/>
      <c r="O6" s="222">
        <f>M6*$C$6</f>
        <v>1104616.4664093745</v>
      </c>
      <c r="P6" s="222"/>
      <c r="Q6" s="222">
        <f>O6*$C$6</f>
        <v>1132231.8780696087</v>
      </c>
      <c r="R6" s="222"/>
      <c r="S6" s="222">
        <f>Q6*$C$6</f>
        <v>1160537.6750213488</v>
      </c>
      <c r="T6" s="222"/>
      <c r="U6" s="222">
        <f>S6*$C$6</f>
        <v>1189551.1168968824</v>
      </c>
      <c r="V6" s="222"/>
      <c r="W6" s="222">
        <f>U6*$C$6</f>
        <v>1219289.8948193043</v>
      </c>
      <c r="X6" s="222"/>
      <c r="Y6" s="222">
        <f>W6*$C$6</f>
        <v>1249772.1421897868</v>
      </c>
      <c r="Z6" s="222"/>
      <c r="AA6" s="222">
        <f>Y6*$C$6</f>
        <v>1281016.4457445312</v>
      </c>
      <c r="AB6" s="222"/>
      <c r="AC6" s="222">
        <f>AA6*$C$6</f>
        <v>1313041.8568881445</v>
      </c>
      <c r="AD6" s="222"/>
      <c r="AE6" s="222">
        <f>AC6*$C$6</f>
        <v>1345867.903310348</v>
      </c>
      <c r="AF6" s="222"/>
      <c r="AG6" s="222">
        <f>AE6*$C$6</f>
        <v>1379514.6008931065</v>
      </c>
    </row>
    <row r="7" spans="1:34" s="210" customFormat="1" ht="14.25">
      <c r="B7" s="210" t="s">
        <v>839</v>
      </c>
      <c r="C7" s="238">
        <f>(IF(Application!$D$211="Special Needs",(((0.1*Application!$T$212)+(0.05*(1-Application!$T$212)))),0.05))*0+C5</f>
        <v>7.5167785234899337E-2</v>
      </c>
      <c r="E7" s="221">
        <f>-E6*$C$7</f>
        <v>-73387.812080536925</v>
      </c>
      <c r="F7" s="221"/>
      <c r="G7" s="221">
        <f>-G6*$C$7</f>
        <v>-75222.507382550335</v>
      </c>
      <c r="H7" s="221"/>
      <c r="I7" s="221">
        <f>-I6*$C$7</f>
        <v>-77103.070067114095</v>
      </c>
      <c r="J7" s="221"/>
      <c r="K7" s="221">
        <f>-K6*$C$7</f>
        <v>-79030.646818791938</v>
      </c>
      <c r="L7" s="221"/>
      <c r="M7" s="221">
        <f>-M6*$C$7</f>
        <v>-81006.41298926172</v>
      </c>
      <c r="N7" s="221"/>
      <c r="O7" s="221">
        <f>-O6*$C$7</f>
        <v>-83031.573313993256</v>
      </c>
      <c r="P7" s="221"/>
      <c r="Q7" s="221">
        <f>-Q6*$C$7</f>
        <v>-85107.362646843074</v>
      </c>
      <c r="R7" s="221"/>
      <c r="S7" s="221">
        <f>-S6*$C$7</f>
        <v>-87235.046713014148</v>
      </c>
      <c r="T7" s="221"/>
      <c r="U7" s="221">
        <f>-U6*$C$7</f>
        <v>-89415.922880839498</v>
      </c>
      <c r="V7" s="221"/>
      <c r="W7" s="221">
        <f>-W6*$C$7</f>
        <v>-91651.320952860464</v>
      </c>
      <c r="X7" s="221"/>
      <c r="Y7" s="221">
        <f>-Y6*$C$7</f>
        <v>-93942.603976681974</v>
      </c>
      <c r="Z7" s="221"/>
      <c r="AA7" s="221">
        <f>-AA6*$C$7</f>
        <v>-96291.169076099002</v>
      </c>
      <c r="AB7" s="221"/>
      <c r="AC7" s="221">
        <f>-AC6*$C$7</f>
        <v>-98698.448303001482</v>
      </c>
      <c r="AD7" s="221"/>
      <c r="AE7" s="221">
        <f>-AE6*$C$7</f>
        <v>-101165.90951057652</v>
      </c>
      <c r="AF7" s="221"/>
      <c r="AG7" s="221">
        <f>-AG6*$C$7</f>
        <v>-103695.05724834091</v>
      </c>
    </row>
    <row r="8" spans="1:34" s="210" customFormat="1" ht="14.25">
      <c r="A8" s="210" t="s">
        <v>288</v>
      </c>
      <c r="C8" s="237">
        <v>1.0249999999999999</v>
      </c>
      <c r="E8" s="222">
        <f>Application!Z817</f>
        <v>27000</v>
      </c>
      <c r="F8" s="222"/>
      <c r="G8" s="222">
        <f>E8*$C$8</f>
        <v>27674.999999999996</v>
      </c>
      <c r="H8" s="222"/>
      <c r="I8" s="222">
        <f>G8*$C$8</f>
        <v>28366.874999999993</v>
      </c>
      <c r="J8" s="222"/>
      <c r="K8" s="222">
        <f>I8*$C$8</f>
        <v>29076.046874999989</v>
      </c>
      <c r="L8" s="222"/>
      <c r="M8" s="222">
        <f>K8*$C$8</f>
        <v>29802.948046874986</v>
      </c>
      <c r="N8" s="222"/>
      <c r="O8" s="222">
        <f>M8*$C$8</f>
        <v>30548.021748046856</v>
      </c>
      <c r="P8" s="222"/>
      <c r="Q8" s="222">
        <f>O8*$C$8</f>
        <v>31311.722291748025</v>
      </c>
      <c r="R8" s="222"/>
      <c r="S8" s="222">
        <f>Q8*$C$8</f>
        <v>32094.515349041721</v>
      </c>
      <c r="T8" s="222"/>
      <c r="U8" s="222">
        <f>S8*$C$8</f>
        <v>32896.878232767762</v>
      </c>
      <c r="V8" s="222"/>
      <c r="W8" s="222">
        <f>U8*$C$8</f>
        <v>33719.300188586953</v>
      </c>
      <c r="X8" s="222"/>
      <c r="Y8" s="222">
        <f>W8*$C$8</f>
        <v>34562.282693301626</v>
      </c>
      <c r="Z8" s="222"/>
      <c r="AA8" s="222">
        <f>Y8*$C$8</f>
        <v>35426.33976063416</v>
      </c>
      <c r="AB8" s="222"/>
      <c r="AC8" s="222">
        <f>AA8*$C$8</f>
        <v>36311.99825465001</v>
      </c>
      <c r="AD8" s="222"/>
      <c r="AE8" s="222">
        <f>AC8*$C$8</f>
        <v>37219.798211016256</v>
      </c>
      <c r="AF8" s="222"/>
      <c r="AG8" s="222">
        <f>AE8*$C$8</f>
        <v>38150.29316629166</v>
      </c>
    </row>
    <row r="9" spans="1:34" s="210" customFormat="1" ht="14.25">
      <c r="B9" s="210" t="s">
        <v>839</v>
      </c>
      <c r="C9" s="238">
        <f>(IF(Application!$D$211="Special Needs",(((0.1*Application!$T$212)+(0.05*(1-Application!$T$212)))),0.05))*0+C5</f>
        <v>7.5167785234899337E-2</v>
      </c>
      <c r="E9" s="221">
        <f>-E8*$C$9</f>
        <v>-2029.530201342282</v>
      </c>
      <c r="F9" s="221"/>
      <c r="G9" s="221">
        <f>-G8*$C$9</f>
        <v>-2080.2684563758389</v>
      </c>
      <c r="H9" s="221"/>
      <c r="I9" s="221">
        <f>-I8*$C$9</f>
        <v>-2132.2751677852348</v>
      </c>
      <c r="J9" s="221"/>
      <c r="K9" s="221">
        <f>-K8*$C$9</f>
        <v>-2185.582046979865</v>
      </c>
      <c r="L9" s="221"/>
      <c r="M9" s="221">
        <f>-M8*$C$9</f>
        <v>-2240.2215981543618</v>
      </c>
      <c r="N9" s="221"/>
      <c r="O9" s="221">
        <f>-O8*$C$9</f>
        <v>-2296.2271381082205</v>
      </c>
      <c r="P9" s="221"/>
      <c r="Q9" s="221">
        <f>-Q8*$C$9</f>
        <v>-2353.6328165609257</v>
      </c>
      <c r="R9" s="221"/>
      <c r="S9" s="221">
        <f>-S8*$C$9</f>
        <v>-2412.4736369749485</v>
      </c>
      <c r="T9" s="221"/>
      <c r="U9" s="221">
        <f>-U8*$C$9</f>
        <v>-2472.7854778993219</v>
      </c>
      <c r="V9" s="221"/>
      <c r="W9" s="221">
        <f>-W8*$C$9</f>
        <v>-2534.6051148468046</v>
      </c>
      <c r="X9" s="221"/>
      <c r="Y9" s="221">
        <f>-Y8*$C$9</f>
        <v>-2597.970242717975</v>
      </c>
      <c r="Z9" s="221"/>
      <c r="AA9" s="221">
        <f>-AA8*$C$9</f>
        <v>-2662.9194987859237</v>
      </c>
      <c r="AB9" s="221"/>
      <c r="AC9" s="221">
        <f>-AC8*$C$9</f>
        <v>-2729.4924862555717</v>
      </c>
      <c r="AD9" s="221"/>
      <c r="AE9" s="221">
        <f>-AE8*$C$9</f>
        <v>-2797.7297984119605</v>
      </c>
      <c r="AF9" s="221"/>
      <c r="AG9" s="221">
        <f>-AG8*$C$9</f>
        <v>-2867.6730433722591</v>
      </c>
    </row>
    <row r="10" spans="1:34" s="210" customFormat="1" ht="14.25">
      <c r="A10" s="1142" t="s">
        <v>2224</v>
      </c>
      <c r="B10" s="1142"/>
      <c r="C10" s="238"/>
      <c r="E10" s="1143"/>
      <c r="F10" s="222"/>
      <c r="G10" s="1143"/>
      <c r="H10" s="222"/>
      <c r="I10" s="1143"/>
      <c r="J10" s="222"/>
      <c r="K10" s="1143"/>
      <c r="L10" s="222"/>
      <c r="M10" s="1143"/>
      <c r="N10" s="222"/>
      <c r="O10" s="1143"/>
      <c r="P10" s="222"/>
      <c r="Q10" s="1143"/>
      <c r="R10" s="222"/>
      <c r="S10" s="1143"/>
      <c r="T10" s="222"/>
      <c r="U10" s="1143"/>
      <c r="V10" s="222"/>
      <c r="W10" s="1143"/>
      <c r="X10" s="222"/>
      <c r="Y10" s="1143"/>
      <c r="Z10" s="222"/>
      <c r="AA10" s="1143"/>
      <c r="AB10" s="222"/>
      <c r="AC10" s="1143"/>
      <c r="AD10" s="222"/>
      <c r="AE10" s="1143"/>
      <c r="AF10" s="222"/>
      <c r="AG10" s="1143"/>
    </row>
    <row r="11" spans="1:34" s="223" customFormat="1" ht="15">
      <c r="A11" s="223" t="s">
        <v>860</v>
      </c>
      <c r="C11" s="216"/>
      <c r="E11" s="223">
        <f>SUM(E4:E10)</f>
        <v>2792841.6161073823</v>
      </c>
      <c r="G11" s="223">
        <f>SUM(G4:G10)</f>
        <v>2862662.6565100672</v>
      </c>
      <c r="I11" s="223">
        <f>SUM(I4:I10)</f>
        <v>2934229.2229228183</v>
      </c>
      <c r="K11" s="223">
        <f>SUM(K4:K10)</f>
        <v>3007584.9534958885</v>
      </c>
      <c r="M11" s="223">
        <f>SUM(M4:M10)</f>
        <v>3082774.5773332859</v>
      </c>
      <c r="O11" s="223">
        <f>SUM(O4:O10)</f>
        <v>3159843.9417666174</v>
      </c>
      <c r="Q11" s="223">
        <f>SUM(Q4:Q10)</f>
        <v>3238840.0403107819</v>
      </c>
      <c r="S11" s="223">
        <f>SUM(S4:S10)</f>
        <v>3319811.0413185521</v>
      </c>
      <c r="U11" s="223">
        <f>SUM(U4:U10)</f>
        <v>3402806.3173515149</v>
      </c>
      <c r="W11" s="223">
        <f>SUM(W4:W10)</f>
        <v>3487876.4752853024</v>
      </c>
      <c r="Y11" s="223">
        <f>SUM(Y4:Y10)</f>
        <v>3575073.3871674356</v>
      </c>
      <c r="AA11" s="223">
        <f>SUM(AA4:AA10)</f>
        <v>3664450.2218466206</v>
      </c>
      <c r="AC11" s="223">
        <f>SUM(AC4:AC10)</f>
        <v>3756061.4773927857</v>
      </c>
      <c r="AE11" s="223">
        <f>SUM(AE4:AE10)</f>
        <v>3849963.0143276053</v>
      </c>
      <c r="AG11" s="223">
        <f>SUM(AG4:AG10)</f>
        <v>3946212.0896857954</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165000</v>
      </c>
      <c r="G15" s="219">
        <f>E15*$C$14</f>
        <v>170775</v>
      </c>
      <c r="I15" s="219">
        <f>G15*$C$14</f>
        <v>176752.125</v>
      </c>
      <c r="K15" s="219">
        <f>I15*$C$14</f>
        <v>182938.449375</v>
      </c>
      <c r="M15" s="219">
        <f>K15*$C$14</f>
        <v>189341.29510312498</v>
      </c>
      <c r="O15" s="219">
        <f>M15*$C$14</f>
        <v>195968.24043173433</v>
      </c>
      <c r="Q15" s="219">
        <f>O15*$C$14</f>
        <v>202827.12884684501</v>
      </c>
      <c r="S15" s="219">
        <f>Q15*$C$14</f>
        <v>209926.07835648456</v>
      </c>
      <c r="U15" s="219">
        <f>S15*$C$14</f>
        <v>217273.4910989615</v>
      </c>
      <c r="W15" s="219">
        <f>U15*$C$14</f>
        <v>224878.06328742515</v>
      </c>
      <c r="Y15" s="219">
        <f>W15*$C$14</f>
        <v>232748.79550248501</v>
      </c>
      <c r="AA15" s="219">
        <f>Y15*$C$14</f>
        <v>240895.00334507198</v>
      </c>
      <c r="AC15" s="219">
        <f>AA15*$C$14</f>
        <v>249326.32846214948</v>
      </c>
      <c r="AE15" s="219">
        <f>AC15*$C$14</f>
        <v>258052.74995832468</v>
      </c>
      <c r="AG15" s="219">
        <f>AE15*$C$14</f>
        <v>267084.59620686603</v>
      </c>
    </row>
    <row r="16" spans="1:34" s="210" customFormat="1" ht="14.25">
      <c r="A16" s="210" t="s">
        <v>344</v>
      </c>
      <c r="C16" s="233"/>
      <c r="E16" s="222">
        <f>Application!W849</f>
        <v>134100</v>
      </c>
      <c r="F16" s="222"/>
      <c r="G16" s="222">
        <f t="shared" ref="G16:AG21" si="0">E16*$C$14</f>
        <v>138793.5</v>
      </c>
      <c r="H16" s="222"/>
      <c r="I16" s="222">
        <f t="shared" si="0"/>
        <v>143651.27249999999</v>
      </c>
      <c r="J16" s="222"/>
      <c r="K16" s="222">
        <f t="shared" si="0"/>
        <v>148679.06703749998</v>
      </c>
      <c r="L16" s="222"/>
      <c r="M16" s="222">
        <f t="shared" si="0"/>
        <v>153882.83438381247</v>
      </c>
      <c r="N16" s="222"/>
      <c r="O16" s="222">
        <f t="shared" si="0"/>
        <v>159268.73358724589</v>
      </c>
      <c r="P16" s="222"/>
      <c r="Q16" s="222">
        <f t="shared" si="0"/>
        <v>164843.13926279949</v>
      </c>
      <c r="R16" s="222"/>
      <c r="S16" s="222">
        <f t="shared" si="0"/>
        <v>170612.64913699747</v>
      </c>
      <c r="T16" s="222"/>
      <c r="U16" s="222">
        <f t="shared" si="0"/>
        <v>176584.09185679237</v>
      </c>
      <c r="V16" s="222"/>
      <c r="W16" s="222">
        <f t="shared" si="0"/>
        <v>182764.53507178009</v>
      </c>
      <c r="X16" s="222"/>
      <c r="Y16" s="222">
        <f t="shared" si="0"/>
        <v>189161.29379929238</v>
      </c>
      <c r="Z16" s="222"/>
      <c r="AA16" s="222">
        <f t="shared" si="0"/>
        <v>195781.93908226761</v>
      </c>
      <c r="AB16" s="222"/>
      <c r="AC16" s="222">
        <f t="shared" si="0"/>
        <v>202634.30695014694</v>
      </c>
      <c r="AD16" s="222"/>
      <c r="AE16" s="222">
        <f t="shared" si="0"/>
        <v>209726.50769340206</v>
      </c>
      <c r="AF16" s="222"/>
      <c r="AG16" s="222">
        <f t="shared" si="0"/>
        <v>217066.93546267113</v>
      </c>
    </row>
    <row r="17" spans="1:33" s="210" customFormat="1" ht="14.25">
      <c r="A17" s="210" t="s">
        <v>562</v>
      </c>
      <c r="C17" s="233"/>
      <c r="E17" s="222">
        <f>Application!W855</f>
        <v>210000</v>
      </c>
      <c r="F17" s="222"/>
      <c r="G17" s="222">
        <f t="shared" si="0"/>
        <v>217349.99999999997</v>
      </c>
      <c r="H17" s="222"/>
      <c r="I17" s="222">
        <f t="shared" si="0"/>
        <v>224957.24999999994</v>
      </c>
      <c r="J17" s="222"/>
      <c r="K17" s="222">
        <f t="shared" si="0"/>
        <v>232830.75374999992</v>
      </c>
      <c r="L17" s="222"/>
      <c r="M17" s="222">
        <f t="shared" si="0"/>
        <v>240979.83013124988</v>
      </c>
      <c r="N17" s="222"/>
      <c r="O17" s="222">
        <f t="shared" si="0"/>
        <v>249414.1241858436</v>
      </c>
      <c r="P17" s="222"/>
      <c r="Q17" s="222">
        <f t="shared" si="0"/>
        <v>258143.6185323481</v>
      </c>
      <c r="R17" s="222"/>
      <c r="S17" s="222">
        <f t="shared" si="0"/>
        <v>267178.64518098027</v>
      </c>
      <c r="T17" s="222"/>
      <c r="U17" s="222">
        <f t="shared" si="0"/>
        <v>276529.89776231453</v>
      </c>
      <c r="V17" s="222"/>
      <c r="W17" s="222">
        <f t="shared" si="0"/>
        <v>286208.44418399554</v>
      </c>
      <c r="X17" s="222"/>
      <c r="Y17" s="222">
        <f t="shared" si="0"/>
        <v>296225.73973043537</v>
      </c>
      <c r="Z17" s="222"/>
      <c r="AA17" s="222">
        <f t="shared" si="0"/>
        <v>306593.64062100055</v>
      </c>
      <c r="AB17" s="222"/>
      <c r="AC17" s="222">
        <f t="shared" si="0"/>
        <v>317324.41804273555</v>
      </c>
      <c r="AD17" s="222"/>
      <c r="AE17" s="222">
        <f t="shared" si="0"/>
        <v>328430.77267423127</v>
      </c>
      <c r="AF17" s="222"/>
      <c r="AG17" s="222">
        <f t="shared" si="0"/>
        <v>339925.84971782932</v>
      </c>
    </row>
    <row r="18" spans="1:33" s="210" customFormat="1" ht="14.25">
      <c r="A18" s="210" t="s">
        <v>843</v>
      </c>
      <c r="C18" s="233"/>
      <c r="E18" s="222">
        <f>Application!W862</f>
        <v>350000</v>
      </c>
      <c r="F18" s="222"/>
      <c r="G18" s="222">
        <f t="shared" si="0"/>
        <v>362250</v>
      </c>
      <c r="H18" s="222"/>
      <c r="I18" s="222">
        <f t="shared" si="0"/>
        <v>374928.75</v>
      </c>
      <c r="J18" s="222"/>
      <c r="K18" s="222">
        <f t="shared" si="0"/>
        <v>388051.25624999998</v>
      </c>
      <c r="L18" s="222"/>
      <c r="M18" s="222">
        <f t="shared" si="0"/>
        <v>401633.05021874997</v>
      </c>
      <c r="N18" s="222"/>
      <c r="O18" s="222">
        <f t="shared" si="0"/>
        <v>415690.20697640616</v>
      </c>
      <c r="P18" s="222"/>
      <c r="Q18" s="222">
        <f t="shared" si="0"/>
        <v>430239.36422058032</v>
      </c>
      <c r="R18" s="222"/>
      <c r="S18" s="222">
        <f t="shared" si="0"/>
        <v>445297.7419683006</v>
      </c>
      <c r="T18" s="222"/>
      <c r="U18" s="222">
        <f t="shared" si="0"/>
        <v>460883.16293719108</v>
      </c>
      <c r="V18" s="222"/>
      <c r="W18" s="222">
        <f t="shared" si="0"/>
        <v>477014.07363999274</v>
      </c>
      <c r="X18" s="222"/>
      <c r="Y18" s="222">
        <f t="shared" si="0"/>
        <v>493709.56621739245</v>
      </c>
      <c r="Z18" s="222"/>
      <c r="AA18" s="222">
        <f t="shared" si="0"/>
        <v>510989.40103500115</v>
      </c>
      <c r="AB18" s="222"/>
      <c r="AC18" s="222">
        <f t="shared" si="0"/>
        <v>528874.03007122618</v>
      </c>
      <c r="AD18" s="222"/>
      <c r="AE18" s="222">
        <f t="shared" si="0"/>
        <v>547384.62112371903</v>
      </c>
      <c r="AF18" s="222"/>
      <c r="AG18" s="222">
        <f t="shared" si="0"/>
        <v>566543.08286304912</v>
      </c>
    </row>
    <row r="19" spans="1:33" s="210" customFormat="1" ht="14.25">
      <c r="A19" s="210" t="s">
        <v>155</v>
      </c>
      <c r="C19" s="233"/>
      <c r="E19" s="222">
        <f>Application!W863</f>
        <v>262500</v>
      </c>
      <c r="F19" s="222"/>
      <c r="G19" s="222">
        <f t="shared" si="0"/>
        <v>271687.5</v>
      </c>
      <c r="H19" s="222"/>
      <c r="I19" s="222">
        <f t="shared" si="0"/>
        <v>281196.5625</v>
      </c>
      <c r="J19" s="222"/>
      <c r="K19" s="222">
        <f t="shared" si="0"/>
        <v>291038.44218749995</v>
      </c>
      <c r="L19" s="222"/>
      <c r="M19" s="222">
        <f t="shared" si="0"/>
        <v>301224.7876640624</v>
      </c>
      <c r="N19" s="222"/>
      <c r="O19" s="222">
        <f t="shared" si="0"/>
        <v>311767.65523230459</v>
      </c>
      <c r="P19" s="222"/>
      <c r="Q19" s="222">
        <f t="shared" si="0"/>
        <v>322679.52316543524</v>
      </c>
      <c r="R19" s="222"/>
      <c r="S19" s="222">
        <f t="shared" si="0"/>
        <v>333973.30647622544</v>
      </c>
      <c r="T19" s="222"/>
      <c r="U19" s="222">
        <f t="shared" si="0"/>
        <v>345662.37220289331</v>
      </c>
      <c r="V19" s="222"/>
      <c r="W19" s="222">
        <f t="shared" si="0"/>
        <v>357760.55522999453</v>
      </c>
      <c r="X19" s="222"/>
      <c r="Y19" s="222">
        <f t="shared" si="0"/>
        <v>370282.17466304428</v>
      </c>
      <c r="Z19" s="222"/>
      <c r="AA19" s="222">
        <f t="shared" si="0"/>
        <v>383242.05077625078</v>
      </c>
      <c r="AB19" s="222"/>
      <c r="AC19" s="222">
        <f t="shared" si="0"/>
        <v>396655.52255341952</v>
      </c>
      <c r="AD19" s="222"/>
      <c r="AE19" s="222">
        <f t="shared" si="0"/>
        <v>410538.46584278916</v>
      </c>
      <c r="AF19" s="222"/>
      <c r="AG19" s="222">
        <f t="shared" si="0"/>
        <v>424907.31214728672</v>
      </c>
    </row>
    <row r="20" spans="1:33" s="210" customFormat="1" ht="14.25">
      <c r="A20" s="210" t="s">
        <v>390</v>
      </c>
      <c r="C20" s="233"/>
      <c r="E20" s="222">
        <f>Application!W872</f>
        <v>250000</v>
      </c>
      <c r="F20" s="222"/>
      <c r="G20" s="222">
        <f t="shared" si="0"/>
        <v>258749.99999999997</v>
      </c>
      <c r="H20" s="222"/>
      <c r="I20" s="222">
        <f t="shared" si="0"/>
        <v>267806.24999999994</v>
      </c>
      <c r="J20" s="222"/>
      <c r="K20" s="222">
        <f t="shared" si="0"/>
        <v>277179.46874999994</v>
      </c>
      <c r="L20" s="222"/>
      <c r="M20" s="222">
        <f t="shared" si="0"/>
        <v>286880.75015624991</v>
      </c>
      <c r="N20" s="222"/>
      <c r="O20" s="222">
        <f t="shared" si="0"/>
        <v>296921.57641171862</v>
      </c>
      <c r="P20" s="222"/>
      <c r="Q20" s="222">
        <f t="shared" si="0"/>
        <v>307313.83158612874</v>
      </c>
      <c r="R20" s="222"/>
      <c r="S20" s="222">
        <f t="shared" si="0"/>
        <v>318069.81569164322</v>
      </c>
      <c r="T20" s="222"/>
      <c r="U20" s="222">
        <f t="shared" si="0"/>
        <v>329202.25924085069</v>
      </c>
      <c r="V20" s="222"/>
      <c r="W20" s="222">
        <f t="shared" si="0"/>
        <v>340724.33831428044</v>
      </c>
      <c r="X20" s="222"/>
      <c r="Y20" s="222">
        <f t="shared" si="0"/>
        <v>352649.69015528023</v>
      </c>
      <c r="Z20" s="222"/>
      <c r="AA20" s="222">
        <f t="shared" si="0"/>
        <v>364992.429310715</v>
      </c>
      <c r="AB20" s="222"/>
      <c r="AC20" s="222">
        <f t="shared" si="0"/>
        <v>377767.16433658998</v>
      </c>
      <c r="AD20" s="222"/>
      <c r="AE20" s="222">
        <f t="shared" si="0"/>
        <v>390989.01508837059</v>
      </c>
      <c r="AF20" s="222"/>
      <c r="AG20" s="222">
        <f t="shared" si="0"/>
        <v>404673.63061646355</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1371600</v>
      </c>
      <c r="G22" s="223">
        <f>SUM(G15:G21)</f>
        <v>1419606</v>
      </c>
      <c r="I22" s="223">
        <f>SUM(I15:I21)</f>
        <v>1469292.21</v>
      </c>
      <c r="K22" s="223">
        <f>SUM(K15:K21)</f>
        <v>1520717.4373499998</v>
      </c>
      <c r="M22" s="223">
        <f>SUM(M15:M21)</f>
        <v>1573942.5476572495</v>
      </c>
      <c r="O22" s="223">
        <f>SUM(O15:O21)</f>
        <v>1629030.5368252532</v>
      </c>
      <c r="Q22" s="223">
        <f>SUM(Q15:Q21)</f>
        <v>1686046.6056141369</v>
      </c>
      <c r="S22" s="223">
        <f>SUM(S15:S21)</f>
        <v>1745058.2368106316</v>
      </c>
      <c r="U22" s="223">
        <f>SUM(U15:U21)</f>
        <v>1806135.2750990037</v>
      </c>
      <c r="W22" s="223">
        <f>SUM(W15:W21)</f>
        <v>1869350.0097274682</v>
      </c>
      <c r="Y22" s="223">
        <f>SUM(Y15:Y21)</f>
        <v>1934777.2600679297</v>
      </c>
      <c r="AA22" s="223">
        <f>SUM(AA15:AA21)</f>
        <v>2002494.4641703072</v>
      </c>
      <c r="AC22" s="223">
        <f>SUM(AC15:AC21)</f>
        <v>2072581.7704162677</v>
      </c>
      <c r="AE22" s="223">
        <f>SUM(AE15:AE21)</f>
        <v>2145122.1323808366</v>
      </c>
      <c r="AG22" s="223">
        <f>SUM(AG15:AG21)</f>
        <v>2220201.407014166</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1263">
        <v>1</v>
      </c>
      <c r="E24" s="909">
        <v>10000</v>
      </c>
      <c r="F24" s="222"/>
      <c r="G24" s="222">
        <f>E24*$C$24</f>
        <v>10000</v>
      </c>
      <c r="H24" s="222"/>
      <c r="I24" s="222">
        <f>G24*$C$24</f>
        <v>10000</v>
      </c>
      <c r="J24" s="222"/>
      <c r="K24" s="222">
        <f>I24*$C$24</f>
        <v>10000</v>
      </c>
      <c r="L24" s="222"/>
      <c r="M24" s="222">
        <f>K24*$C$24</f>
        <v>10000</v>
      </c>
      <c r="N24" s="222"/>
      <c r="O24" s="222">
        <f>M24*$C$24</f>
        <v>10000</v>
      </c>
      <c r="P24" s="222"/>
      <c r="Q24" s="222">
        <f>O24*$C$24</f>
        <v>10000</v>
      </c>
      <c r="R24" s="222"/>
      <c r="S24" s="222">
        <f>Q24*$C$24</f>
        <v>10000</v>
      </c>
      <c r="T24" s="222"/>
      <c r="U24" s="222">
        <f>S24*$C$24</f>
        <v>10000</v>
      </c>
      <c r="V24" s="222"/>
      <c r="W24" s="222">
        <f>U24*$C$24</f>
        <v>10000</v>
      </c>
      <c r="X24" s="222"/>
      <c r="Y24" s="222">
        <f>W24*$C$24</f>
        <v>10000</v>
      </c>
      <c r="Z24" s="222"/>
      <c r="AA24" s="222">
        <f>Y24*$C$24</f>
        <v>10000</v>
      </c>
      <c r="AB24" s="222"/>
      <c r="AC24" s="222">
        <f>AA24*$C$24</f>
        <v>10000</v>
      </c>
      <c r="AD24" s="222"/>
      <c r="AE24" s="222">
        <f>AC24*$C$24</f>
        <v>10000</v>
      </c>
      <c r="AF24" s="222"/>
      <c r="AG24" s="222">
        <f>AE24*$C$24</f>
        <v>10000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150000</v>
      </c>
      <c r="F27" s="222"/>
      <c r="G27" s="222">
        <f>E27*$C$27</f>
        <v>155250</v>
      </c>
      <c r="H27" s="222"/>
      <c r="I27" s="222">
        <f>G27*$C$27</f>
        <v>160683.75</v>
      </c>
      <c r="J27" s="222"/>
      <c r="K27" s="222">
        <f>I27*$C$27</f>
        <v>166307.68124999999</v>
      </c>
      <c r="L27" s="222"/>
      <c r="M27" s="222">
        <f>K27*$C$27</f>
        <v>172128.45009374997</v>
      </c>
      <c r="N27" s="222"/>
      <c r="O27" s="222">
        <f>M27*$C$27</f>
        <v>178152.94584703119</v>
      </c>
      <c r="P27" s="222"/>
      <c r="Q27" s="222">
        <f>O27*$C$27</f>
        <v>184388.29895167728</v>
      </c>
      <c r="R27" s="222"/>
      <c r="S27" s="222">
        <f>Q27*$C$27</f>
        <v>190841.88941498596</v>
      </c>
      <c r="T27" s="222"/>
      <c r="U27" s="222">
        <f>S27*$C$27</f>
        <v>197521.35554451044</v>
      </c>
      <c r="V27" s="222"/>
      <c r="W27" s="222">
        <f>U27*$C$27</f>
        <v>204434.60298856828</v>
      </c>
      <c r="X27" s="222"/>
      <c r="Y27" s="222">
        <f>W27*$C$27</f>
        <v>211589.81409316816</v>
      </c>
      <c r="Z27" s="222"/>
      <c r="AA27" s="222">
        <f>Y27*$C$27</f>
        <v>218995.45758642902</v>
      </c>
      <c r="AB27" s="222"/>
      <c r="AC27" s="222">
        <f>AA27*$C$27</f>
        <v>226660.29860195401</v>
      </c>
      <c r="AD27" s="222"/>
      <c r="AE27" s="222">
        <f>AC27*$C$27</f>
        <v>234593.40905302239</v>
      </c>
      <c r="AF27" s="222"/>
      <c r="AG27" s="222">
        <f>AE27*$C$27</f>
        <v>242804.17836987815</v>
      </c>
    </row>
    <row r="28" spans="1:33" s="210" customFormat="1" ht="14.25">
      <c r="A28" s="210" t="s">
        <v>847</v>
      </c>
      <c r="C28" s="237"/>
      <c r="E28" s="222">
        <f>Application!AC889</f>
        <v>75000</v>
      </c>
      <c r="F28" s="222"/>
      <c r="G28" s="222">
        <f>$E$28</f>
        <v>75000</v>
      </c>
      <c r="H28" s="222"/>
      <c r="I28" s="222">
        <f>$E$28</f>
        <v>75000</v>
      </c>
      <c r="J28" s="222"/>
      <c r="K28" s="222">
        <f>$E$28</f>
        <v>75000</v>
      </c>
      <c r="L28" s="222"/>
      <c r="M28" s="222">
        <f>$E$28</f>
        <v>75000</v>
      </c>
      <c r="N28" s="222"/>
      <c r="O28" s="222">
        <f>$E$28</f>
        <v>75000</v>
      </c>
      <c r="P28" s="222"/>
      <c r="Q28" s="222">
        <f>$E$28</f>
        <v>75000</v>
      </c>
      <c r="R28" s="222"/>
      <c r="S28" s="222">
        <f>$E$28</f>
        <v>75000</v>
      </c>
      <c r="T28" s="222"/>
      <c r="U28" s="222">
        <f>$E$28</f>
        <v>75000</v>
      </c>
      <c r="V28" s="222"/>
      <c r="W28" s="222">
        <f>$E$28</f>
        <v>75000</v>
      </c>
      <c r="X28" s="222"/>
      <c r="Y28" s="222">
        <f>$E$28</f>
        <v>75000</v>
      </c>
      <c r="Z28" s="222"/>
      <c r="AA28" s="222">
        <f>$E$28</f>
        <v>75000</v>
      </c>
      <c r="AB28" s="222"/>
      <c r="AC28" s="222">
        <f>$E$28</f>
        <v>75000</v>
      </c>
      <c r="AD28" s="222"/>
      <c r="AE28" s="222">
        <f>$E$28</f>
        <v>75000</v>
      </c>
      <c r="AF28" s="222"/>
      <c r="AG28" s="222">
        <f>$E$28</f>
        <v>75000</v>
      </c>
    </row>
    <row r="29" spans="1:33" s="210" customFormat="1" ht="14.25">
      <c r="A29" s="210" t="s">
        <v>1681</v>
      </c>
      <c r="C29" s="237"/>
      <c r="E29" s="222">
        <f>Application!AC890</f>
        <v>7150</v>
      </c>
      <c r="F29" s="222"/>
      <c r="G29" s="222">
        <f>$E$29</f>
        <v>7150</v>
      </c>
      <c r="H29" s="222"/>
      <c r="I29" s="222">
        <f>$E$29</f>
        <v>7150</v>
      </c>
      <c r="J29" s="222"/>
      <c r="K29" s="222">
        <f>$E$29</f>
        <v>7150</v>
      </c>
      <c r="L29" s="222"/>
      <c r="M29" s="222">
        <f>$E$29</f>
        <v>7150</v>
      </c>
      <c r="N29" s="222"/>
      <c r="O29" s="222">
        <f>$E$29</f>
        <v>7150</v>
      </c>
      <c r="P29" s="222"/>
      <c r="Q29" s="222">
        <f>$E$29</f>
        <v>7150</v>
      </c>
      <c r="R29" s="222"/>
      <c r="S29" s="222">
        <f>$E$29</f>
        <v>7150</v>
      </c>
      <c r="T29" s="222"/>
      <c r="U29" s="222">
        <f>$E$29</f>
        <v>7150</v>
      </c>
      <c r="V29" s="222"/>
      <c r="W29" s="222">
        <f>$E$29</f>
        <v>7150</v>
      </c>
      <c r="X29" s="222"/>
      <c r="Y29" s="222">
        <f>$E$29</f>
        <v>7150</v>
      </c>
      <c r="Z29" s="222"/>
      <c r="AA29" s="222">
        <f>$E$29</f>
        <v>7150</v>
      </c>
      <c r="AB29" s="222"/>
      <c r="AC29" s="222">
        <f>$E$29</f>
        <v>7150</v>
      </c>
      <c r="AD29" s="222"/>
      <c r="AE29" s="222">
        <f>$E$29</f>
        <v>7150</v>
      </c>
      <c r="AF29" s="222"/>
      <c r="AG29" s="222">
        <f>$E$29</f>
        <v>7150</v>
      </c>
    </row>
    <row r="30" spans="1:33" s="210" customFormat="1" ht="14.25">
      <c r="A30" s="210" t="s">
        <v>845</v>
      </c>
      <c r="C30" s="237">
        <v>1.02</v>
      </c>
      <c r="E30" s="222">
        <f>Application!AC891</f>
        <v>8000</v>
      </c>
      <c r="F30" s="222"/>
      <c r="G30" s="222">
        <f>E30*$C$30</f>
        <v>8160</v>
      </c>
      <c r="H30" s="222"/>
      <c r="I30" s="222">
        <f>G30*$C$30</f>
        <v>8323.2000000000007</v>
      </c>
      <c r="J30" s="222"/>
      <c r="K30" s="222">
        <f>I30*$C$30</f>
        <v>8489.6640000000007</v>
      </c>
      <c r="L30" s="222"/>
      <c r="M30" s="222">
        <f>K30*$C$30</f>
        <v>8659.4572800000005</v>
      </c>
      <c r="N30" s="222"/>
      <c r="O30" s="222">
        <f>M30*$C$30</f>
        <v>8832.6464255999999</v>
      </c>
      <c r="P30" s="222"/>
      <c r="Q30" s="222">
        <f>O30*$C$30</f>
        <v>9009.2993541119995</v>
      </c>
      <c r="R30" s="222"/>
      <c r="S30" s="222">
        <f>Q30*$C$30</f>
        <v>9189.4853411942404</v>
      </c>
      <c r="T30" s="222"/>
      <c r="U30" s="222">
        <f>S30*$C$30</f>
        <v>9373.2750480181257</v>
      </c>
      <c r="V30" s="222"/>
      <c r="W30" s="222">
        <f>U30*$C$30</f>
        <v>9560.7405489784887</v>
      </c>
      <c r="X30" s="222"/>
      <c r="Y30" s="222">
        <f>W30*$C$30</f>
        <v>9751.9553599580595</v>
      </c>
      <c r="Z30" s="222"/>
      <c r="AA30" s="222">
        <f>Y30*$C$30</f>
        <v>9946.9944671572212</v>
      </c>
      <c r="AB30" s="222"/>
      <c r="AC30" s="222">
        <f>AA30*$C$30</f>
        <v>10145.934356500366</v>
      </c>
      <c r="AD30" s="222"/>
      <c r="AE30" s="222">
        <f>AC30*$C$30</f>
        <v>10348.853043630374</v>
      </c>
      <c r="AF30" s="222"/>
      <c r="AG30" s="222">
        <f>AE30*$C$30</f>
        <v>10555.830104502982</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(Bond Issuer and Trustee Fees):</v>
      </c>
      <c r="C32" s="315">
        <v>1</v>
      </c>
      <c r="E32" s="222">
        <f>Application!AC894</f>
        <v>8106</v>
      </c>
      <c r="F32" s="222"/>
      <c r="G32" s="222">
        <f>E32*$C$32</f>
        <v>8106</v>
      </c>
      <c r="H32" s="222"/>
      <c r="I32" s="222">
        <f>G32*$C$32</f>
        <v>8106</v>
      </c>
      <c r="J32" s="222"/>
      <c r="K32" s="222">
        <f>I32*$C$32</f>
        <v>8106</v>
      </c>
      <c r="L32" s="222"/>
      <c r="M32" s="222">
        <f>K32*$C$32</f>
        <v>8106</v>
      </c>
      <c r="N32" s="222"/>
      <c r="O32" s="222">
        <f>M32*$C$32</f>
        <v>8106</v>
      </c>
      <c r="P32" s="222"/>
      <c r="Q32" s="222">
        <f>O32*$C$32</f>
        <v>8106</v>
      </c>
      <c r="R32" s="222"/>
      <c r="S32" s="222">
        <f>Q32*$C$32</f>
        <v>8106</v>
      </c>
      <c r="T32" s="222"/>
      <c r="U32" s="222">
        <f>S32*$C$32</f>
        <v>8106</v>
      </c>
      <c r="V32" s="222"/>
      <c r="W32" s="222">
        <f>U32*$C$32</f>
        <v>8106</v>
      </c>
      <c r="X32" s="222"/>
      <c r="Y32" s="222">
        <f>W32*$C$32</f>
        <v>8106</v>
      </c>
      <c r="Z32" s="222"/>
      <c r="AA32" s="222">
        <f>Y32*$C$32</f>
        <v>8106</v>
      </c>
      <c r="AB32" s="222"/>
      <c r="AC32" s="222">
        <f>AA32*$C$32</f>
        <v>8106</v>
      </c>
      <c r="AD32" s="222"/>
      <c r="AE32" s="222">
        <f>AC32*$C$32</f>
        <v>8106</v>
      </c>
      <c r="AF32" s="222"/>
      <c r="AG32" s="222">
        <f>AE32*$C$32</f>
        <v>8106</v>
      </c>
    </row>
    <row r="33" spans="1:33" s="210" customFormat="1" ht="14.25">
      <c r="A33" s="210" t="str">
        <f>Application!C895</f>
        <v>Other (Specify):</v>
      </c>
      <c r="C33" s="315">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1629856</v>
      </c>
      <c r="G35" s="223">
        <f>SUM(G22:G33)</f>
        <v>1683272</v>
      </c>
      <c r="I35" s="223">
        <f>SUM(I22:I33)</f>
        <v>1738555.16</v>
      </c>
      <c r="K35" s="223">
        <f>SUM(K22:K33)</f>
        <v>1795770.7825999998</v>
      </c>
      <c r="M35" s="223">
        <f>SUM(M22:M33)</f>
        <v>1854986.4550309994</v>
      </c>
      <c r="O35" s="223">
        <f>SUM(O22:O33)</f>
        <v>1916272.1290978843</v>
      </c>
      <c r="Q35" s="223">
        <f>SUM(Q22:Q33)</f>
        <v>1979700.2039199262</v>
      </c>
      <c r="S35" s="223">
        <f>SUM(S22:S33)</f>
        <v>2045345.6115668118</v>
      </c>
      <c r="U35" s="223">
        <f>SUM(U22:U33)</f>
        <v>2113285.9056915324</v>
      </c>
      <c r="W35" s="223">
        <f>SUM(W22:W33)</f>
        <v>2183601.3532650154</v>
      </c>
      <c r="Y35" s="223">
        <f>SUM(Y22:Y33)</f>
        <v>2256375.029521056</v>
      </c>
      <c r="AA35" s="223">
        <f>SUM(AA22:AA33)</f>
        <v>2331692.9162238934</v>
      </c>
      <c r="AC35" s="223">
        <f>SUM(AC22:AC33)</f>
        <v>2409644.0033747219</v>
      </c>
      <c r="AE35" s="223">
        <f>SUM(AE22:AE33)</f>
        <v>2490320.3944774894</v>
      </c>
      <c r="AG35" s="223">
        <f>SUM(AG22:AG33)</f>
        <v>2573817.4154885472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1162985.6161073823</v>
      </c>
      <c r="G37" s="223">
        <f>G11-G35</f>
        <v>1179390.6565100672</v>
      </c>
      <c r="I37" s="223">
        <f>I11-I35</f>
        <v>1195674.0629228184</v>
      </c>
      <c r="K37" s="223">
        <f>K11-K35</f>
        <v>1211814.1708958887</v>
      </c>
      <c r="M37" s="223">
        <f>M11-M35</f>
        <v>1227788.1223022866</v>
      </c>
      <c r="O37" s="223">
        <f>O11-O35</f>
        <v>1243571.8126687331</v>
      </c>
      <c r="Q37" s="223">
        <f>Q11-Q35</f>
        <v>1259139.8363908557</v>
      </c>
      <c r="S37" s="223">
        <f>S11-S35</f>
        <v>1274465.4297517403</v>
      </c>
      <c r="U37" s="223">
        <f>U11-U35</f>
        <v>1289520.4116599825</v>
      </c>
      <c r="W37" s="223">
        <f>W11-W35</f>
        <v>1304275.122020287</v>
      </c>
      <c r="Y37" s="223">
        <f>Y11-Y35</f>
        <v>1318698.3576463796</v>
      </c>
      <c r="AA37" s="223">
        <f>AA11-AA35</f>
        <v>1332757.3056227271</v>
      </c>
      <c r="AC37" s="223">
        <f>AC11-AC35</f>
        <v>1346417.4740180639</v>
      </c>
      <c r="AE37" s="223">
        <f>AE11-AE35</f>
        <v>1359642.6198501159</v>
      </c>
      <c r="AG37" s="223">
        <f>AG11-AG35</f>
        <v>1372394.6741972482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 Community Capital (Permanent Loan)</v>
      </c>
      <c r="B40" s="226"/>
      <c r="C40" s="220"/>
      <c r="E40" s="222">
        <f>Application!AF627</f>
        <v>1010181.492984977</v>
      </c>
      <c r="F40" s="222"/>
      <c r="G40" s="222">
        <f>$E$40</f>
        <v>1010181.492984977</v>
      </c>
      <c r="H40" s="222"/>
      <c r="I40" s="222">
        <f>$E$40</f>
        <v>1010181.492984977</v>
      </c>
      <c r="J40" s="222"/>
      <c r="K40" s="222">
        <f>$E$40</f>
        <v>1010181.492984977</v>
      </c>
      <c r="L40" s="222"/>
      <c r="M40" s="222">
        <f>$E$40</f>
        <v>1010181.492984977</v>
      </c>
      <c r="N40" s="222"/>
      <c r="O40" s="222">
        <f>$E$40</f>
        <v>1010181.492984977</v>
      </c>
      <c r="P40" s="222"/>
      <c r="Q40" s="222">
        <f>$E$40</f>
        <v>1010181.492984977</v>
      </c>
      <c r="R40" s="222"/>
      <c r="S40" s="222">
        <f>$E$40</f>
        <v>1010181.492984977</v>
      </c>
      <c r="T40" s="222"/>
      <c r="U40" s="222">
        <f>$E$40</f>
        <v>1010181.492984977</v>
      </c>
      <c r="V40" s="222"/>
      <c r="W40" s="222">
        <f>$E$40</f>
        <v>1010181.492984977</v>
      </c>
      <c r="X40" s="222"/>
      <c r="Y40" s="222">
        <f>$E$40</f>
        <v>1010181.492984977</v>
      </c>
      <c r="Z40" s="222"/>
      <c r="AA40" s="222">
        <f>$E$40</f>
        <v>1010181.492984977</v>
      </c>
      <c r="AB40" s="222"/>
      <c r="AC40" s="222">
        <f>$E$40</f>
        <v>1010181.492984977</v>
      </c>
      <c r="AD40" s="222"/>
      <c r="AE40" s="222">
        <f>$E$40</f>
        <v>1010181.492984977</v>
      </c>
      <c r="AF40" s="222"/>
      <c r="AG40" s="222">
        <f>$E$40</f>
        <v>1010181.492984977</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1010181.492984977</v>
      </c>
      <c r="G43" s="223">
        <f>SUM(G40:G42)</f>
        <v>1010181.492984977</v>
      </c>
      <c r="I43" s="223">
        <f>SUM(I40:I42)</f>
        <v>1010181.492984977</v>
      </c>
      <c r="K43" s="223">
        <f>SUM(K40:K42)</f>
        <v>1010181.492984977</v>
      </c>
      <c r="M43" s="223">
        <f>SUM(M40:M42)</f>
        <v>1010181.492984977</v>
      </c>
      <c r="O43" s="223">
        <f>SUM(O40:O42)</f>
        <v>1010181.492984977</v>
      </c>
      <c r="Q43" s="223">
        <f>SUM(Q40:Q42)</f>
        <v>1010181.492984977</v>
      </c>
      <c r="S43" s="223">
        <f>SUM(S40:S42)</f>
        <v>1010181.492984977</v>
      </c>
      <c r="U43" s="223">
        <f>SUM(U40:U42)</f>
        <v>1010181.492984977</v>
      </c>
      <c r="W43" s="223">
        <f>SUM(W40:W42)</f>
        <v>1010181.492984977</v>
      </c>
      <c r="Y43" s="223">
        <f>SUM(Y40:Y42)</f>
        <v>1010181.492984977</v>
      </c>
      <c r="AA43" s="223">
        <f>SUM(AA40:AA42)</f>
        <v>1010181.492984977</v>
      </c>
      <c r="AC43" s="223">
        <f>SUM(AC40:AC42)</f>
        <v>1010181.492984977</v>
      </c>
      <c r="AE43" s="223">
        <f>SUM(AE40:AE42)</f>
        <v>1010181.492984977</v>
      </c>
      <c r="AG43" s="223">
        <f>SUM(AG40:AG42)</f>
        <v>1010181.492984977</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152804.12312240538</v>
      </c>
      <c r="G45" s="223">
        <f>G37-G43</f>
        <v>169209.1635250902</v>
      </c>
      <c r="I45" s="223">
        <f>I37-I43</f>
        <v>185492.56993784138</v>
      </c>
      <c r="K45" s="223">
        <f>K37-K43</f>
        <v>201632.67791091173</v>
      </c>
      <c r="M45" s="223">
        <f>M37-M43</f>
        <v>217606.62931730959</v>
      </c>
      <c r="O45" s="223">
        <f>O37-O43</f>
        <v>233390.3196837561</v>
      </c>
      <c r="Q45" s="223">
        <f>Q37-Q43</f>
        <v>248958.34340587875</v>
      </c>
      <c r="S45" s="223">
        <f>S37-S43</f>
        <v>264283.93676676333</v>
      </c>
      <c r="U45" s="223">
        <f>U37-U43</f>
        <v>279338.91867500555</v>
      </c>
      <c r="W45" s="223">
        <f>W37-W43</f>
        <v>294093.62903531</v>
      </c>
      <c r="Y45" s="223">
        <f>Y37-Y43</f>
        <v>308516.86466140265</v>
      </c>
      <c r="AA45" s="223">
        <f>AA37-AA43</f>
        <v>322575.81263775018</v>
      </c>
      <c r="AC45" s="223">
        <f>AC37-AC43</f>
        <v>336235.98103308689</v>
      </c>
      <c r="AE45" s="223">
        <f>AE37-AE43</f>
        <v>349461.12686513888</v>
      </c>
      <c r="AG45" s="223">
        <f>AG37-AG43</f>
        <v>362213.18121227121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5.0600139584535513E-2</v>
      </c>
      <c r="G47" s="227">
        <f>G45/(G4+G6+G8)</f>
        <v>5.4665919194348822E-2</v>
      </c>
      <c r="I47" s="227">
        <f>I45/(I4+I6+I8)</f>
        <v>5.8464929371537584E-2</v>
      </c>
      <c r="K47" s="227">
        <f>K45/(K4+K6+K8)</f>
        <v>6.2002037835910323E-2</v>
      </c>
      <c r="M47" s="227">
        <f>M45/(M4+M6+M8)</f>
        <v>6.5281977611604702E-2</v>
      </c>
      <c r="O47" s="227">
        <f>O45/(O4+O6+O8)</f>
        <v>6.8309350156446819E-2</v>
      </c>
      <c r="Q47" s="227">
        <f>Q45/(Q4+Q6+Q8)</f>
        <v>7.1088628413466276E-2</v>
      </c>
      <c r="S47" s="227">
        <f>S45/(S4+S6+S8)</f>
        <v>7.3624159786446236E-2</v>
      </c>
      <c r="U47" s="227">
        <f>U45/(U4+U6+U8)</f>
        <v>7.5920169041347935E-2</v>
      </c>
      <c r="W47" s="227">
        <f>W45/(W4+W6+W8)</f>
        <v>7.7980761135407903E-2</v>
      </c>
      <c r="Y47" s="227">
        <f>Y45/(Y4+Y6+Y8)</f>
        <v>7.9809923975646443E-2</v>
      </c>
      <c r="AA47" s="227">
        <f>AA45/(AA4+AA6+AA8)</f>
        <v>8.1411531108501856E-2</v>
      </c>
      <c r="AC47" s="227">
        <f>AC45/(AC4+AC6+AC8)</f>
        <v>8.2789344342253865E-2</v>
      </c>
      <c r="AE47" s="227">
        <f>AE45/(AE4+AE6+AE8)</f>
        <v>8.3947016303853955E-2</v>
      </c>
      <c r="AG47" s="227">
        <f>AG45/(AG4+AG6+AG8)</f>
        <v>8.4888092931753645E-2</v>
      </c>
    </row>
    <row r="48" spans="1:33" s="227" customFormat="1" ht="14.25">
      <c r="A48" s="227" t="s">
        <v>853</v>
      </c>
      <c r="C48" s="220"/>
      <c r="E48" s="227">
        <f>E45/E43</f>
        <v>0.15126402946750264</v>
      </c>
      <c r="G48" s="227">
        <f>G45/G43</f>
        <v>0.16750372551876341</v>
      </c>
      <c r="I48" s="227">
        <f>I45/I43</f>
        <v>0.18362301351386959</v>
      </c>
      <c r="K48" s="227">
        <f>K45/K43</f>
        <v>0.19960044735635474</v>
      </c>
      <c r="M48" s="227">
        <f>M45/M43</f>
        <v>0.21541339930343165</v>
      </c>
      <c r="O48" s="227">
        <f>O45/O43</f>
        <v>0.23103800782779435</v>
      </c>
      <c r="Q48" s="227">
        <f>Q45/Q43</f>
        <v>0.24644912338498084</v>
      </c>
      <c r="S48" s="227">
        <f>S45/S43</f>
        <v>0.26162025200623396</v>
      </c>
      <c r="U48" s="227">
        <f>U45/U43</f>
        <v>0.27652349663384673</v>
      </c>
      <c r="W48" s="227">
        <f>W45/W43</f>
        <v>0.29112949611291644</v>
      </c>
      <c r="Y48" s="227">
        <f>Y45/Y43</f>
        <v>0.30540736175018285</v>
      </c>
      <c r="AA48" s="227">
        <f>AA45/AA43</f>
        <v>0.31932461134738627</v>
      </c>
      <c r="AC48" s="227">
        <f>AC45/AC43</f>
        <v>0.33284710061312445</v>
      </c>
      <c r="AE48" s="227">
        <f>AE45/AE43</f>
        <v>0.34593895185361107</v>
      </c>
      <c r="AG48" s="227">
        <f>AG45/AG43</f>
        <v>0.35856247983911332</v>
      </c>
    </row>
    <row r="49" spans="1:34" s="228" customFormat="1" ht="14.25">
      <c r="A49" s="228" t="s">
        <v>851</v>
      </c>
      <c r="C49" s="229"/>
      <c r="E49" s="228">
        <f>E37/E43</f>
        <v>1.1512640294675027</v>
      </c>
      <c r="G49" s="228">
        <f>G37/G43</f>
        <v>1.1675037255187635</v>
      </c>
      <c r="I49" s="228">
        <f>I37/I43</f>
        <v>1.1836230135138697</v>
      </c>
      <c r="K49" s="228">
        <f>K37/K43</f>
        <v>1.1996004473563548</v>
      </c>
      <c r="M49" s="228">
        <f>M37/M43</f>
        <v>1.2154133993034317</v>
      </c>
      <c r="O49" s="228">
        <f>O37/O43</f>
        <v>1.2310380078277943</v>
      </c>
      <c r="Q49" s="228">
        <f>Q37/Q43</f>
        <v>1.2464491233849808</v>
      </c>
      <c r="S49" s="228">
        <f>S37/S43</f>
        <v>1.2616202520062341</v>
      </c>
      <c r="U49" s="228">
        <f>U37/U43</f>
        <v>1.2765234966338468</v>
      </c>
      <c r="W49" s="228">
        <f>W37/W43</f>
        <v>1.2911294961129165</v>
      </c>
      <c r="Y49" s="228">
        <f>Y37/Y43</f>
        <v>1.3054073617501829</v>
      </c>
      <c r="AA49" s="228">
        <f>AA37/AA43</f>
        <v>1.3193246113473862</v>
      </c>
      <c r="AC49" s="228">
        <f>AC37/AC43</f>
        <v>1.3328471006131244</v>
      </c>
      <c r="AE49" s="228">
        <f>AE37/AE43</f>
        <v>1.3459389518536111</v>
      </c>
      <c r="AG49" s="228">
        <f>AG37/AG43</f>
        <v>1.3585624798391134</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0"/>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row>
    <row r="52" spans="1:34" s="3" customFormat="1">
      <c r="A52" s="2704" t="s">
        <v>1185</v>
      </c>
      <c r="B52" s="2704"/>
      <c r="C52" s="2704"/>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row>
    <row r="53" spans="1:34" s="961" customFormat="1">
      <c r="A53" s="961" t="s">
        <v>855</v>
      </c>
      <c r="C53" s="962"/>
      <c r="E53" s="963"/>
      <c r="G53" s="959">
        <f>E53*$C$53</f>
        <v>0</v>
      </c>
      <c r="I53" s="959">
        <f>G53*$C$53</f>
        <v>0</v>
      </c>
      <c r="K53" s="959">
        <f>I53*$C$53</f>
        <v>0</v>
      </c>
      <c r="M53" s="959">
        <f>K53*$C$53</f>
        <v>0</v>
      </c>
      <c r="O53" s="959">
        <f>M53*$C$53</f>
        <v>0</v>
      </c>
      <c r="Q53" s="959">
        <f>O53*$C$53</f>
        <v>0</v>
      </c>
      <c r="S53" s="959">
        <f>Q53*$C$53</f>
        <v>0</v>
      </c>
      <c r="U53" s="959">
        <f>S53*$C$53</f>
        <v>0</v>
      </c>
      <c r="W53" s="959">
        <f>U53*$C$53</f>
        <v>0</v>
      </c>
      <c r="Y53" s="959">
        <f>W53*$C$53</f>
        <v>0</v>
      </c>
      <c r="AA53" s="959">
        <f>Y53*$C$53</f>
        <v>0</v>
      </c>
      <c r="AC53" s="959">
        <f>AA53*$C$53</f>
        <v>0</v>
      </c>
      <c r="AE53" s="959">
        <f>AC53*$C$53</f>
        <v>0</v>
      </c>
      <c r="AG53" s="959">
        <f>AE53*$C$53</f>
        <v>0</v>
      </c>
    </row>
    <row r="54" spans="1:34" s="3" customFormat="1">
      <c r="A54" s="3" t="s">
        <v>856</v>
      </c>
      <c r="C54" s="957"/>
      <c r="E54" s="964"/>
      <c r="F54" s="959"/>
      <c r="G54" s="959">
        <f t="shared" ref="G54:AG57" si="1">E54*$C$53</f>
        <v>0</v>
      </c>
      <c r="H54" s="959"/>
      <c r="I54" s="959">
        <f t="shared" si="1"/>
        <v>0</v>
      </c>
      <c r="J54" s="959"/>
      <c r="K54" s="959">
        <f t="shared" si="1"/>
        <v>0</v>
      </c>
      <c r="L54" s="959"/>
      <c r="M54" s="959">
        <f t="shared" si="1"/>
        <v>0</v>
      </c>
      <c r="N54" s="959"/>
      <c r="O54" s="959">
        <f t="shared" si="1"/>
        <v>0</v>
      </c>
      <c r="P54" s="959"/>
      <c r="Q54" s="959">
        <f t="shared" si="1"/>
        <v>0</v>
      </c>
      <c r="R54" s="959"/>
      <c r="S54" s="959">
        <f t="shared" si="1"/>
        <v>0</v>
      </c>
      <c r="T54" s="959"/>
      <c r="U54" s="959">
        <f t="shared" si="1"/>
        <v>0</v>
      </c>
      <c r="V54" s="959"/>
      <c r="W54" s="959">
        <f t="shared" si="1"/>
        <v>0</v>
      </c>
      <c r="X54" s="959"/>
      <c r="Y54" s="959">
        <f t="shared" si="1"/>
        <v>0</v>
      </c>
      <c r="Z54" s="959"/>
      <c r="AA54" s="959">
        <f t="shared" si="1"/>
        <v>0</v>
      </c>
      <c r="AB54" s="959"/>
      <c r="AC54" s="959">
        <f t="shared" si="1"/>
        <v>0</v>
      </c>
      <c r="AD54" s="959"/>
      <c r="AE54" s="959">
        <f t="shared" si="1"/>
        <v>0</v>
      </c>
      <c r="AF54" s="959"/>
      <c r="AG54" s="959">
        <f t="shared" si="1"/>
        <v>0</v>
      </c>
      <c r="AH54" s="959"/>
    </row>
    <row r="55" spans="1:34" s="3" customFormat="1">
      <c r="A55" s="3" t="s">
        <v>857</v>
      </c>
      <c r="C55" s="957"/>
      <c r="E55" s="964"/>
      <c r="F55" s="959"/>
      <c r="G55" s="959">
        <f t="shared" si="1"/>
        <v>0</v>
      </c>
      <c r="H55" s="959"/>
      <c r="I55" s="959">
        <f t="shared" si="1"/>
        <v>0</v>
      </c>
      <c r="J55" s="959"/>
      <c r="K55" s="959">
        <f t="shared" si="1"/>
        <v>0</v>
      </c>
      <c r="L55" s="959"/>
      <c r="M55" s="959">
        <f t="shared" si="1"/>
        <v>0</v>
      </c>
      <c r="N55" s="959"/>
      <c r="O55" s="959">
        <f t="shared" si="1"/>
        <v>0</v>
      </c>
      <c r="P55" s="959"/>
      <c r="Q55" s="959">
        <f t="shared" si="1"/>
        <v>0</v>
      </c>
      <c r="R55" s="959"/>
      <c r="S55" s="959">
        <f t="shared" si="1"/>
        <v>0</v>
      </c>
      <c r="T55" s="959"/>
      <c r="U55" s="959">
        <f t="shared" si="1"/>
        <v>0</v>
      </c>
      <c r="V55" s="959"/>
      <c r="W55" s="959">
        <f t="shared" si="1"/>
        <v>0</v>
      </c>
      <c r="X55" s="959"/>
      <c r="Y55" s="959">
        <f t="shared" si="1"/>
        <v>0</v>
      </c>
      <c r="Z55" s="959"/>
      <c r="AA55" s="959">
        <f t="shared" si="1"/>
        <v>0</v>
      </c>
      <c r="AB55" s="959"/>
      <c r="AC55" s="959">
        <f t="shared" si="1"/>
        <v>0</v>
      </c>
      <c r="AD55" s="959"/>
      <c r="AE55" s="959">
        <f t="shared" si="1"/>
        <v>0</v>
      </c>
      <c r="AF55" s="959"/>
      <c r="AG55" s="959">
        <f t="shared" si="1"/>
        <v>0</v>
      </c>
      <c r="AH55" s="959"/>
    </row>
    <row r="56" spans="1:34" s="3" customFormat="1">
      <c r="A56" s="965"/>
      <c r="B56" s="965"/>
      <c r="C56" s="957"/>
      <c r="E56" s="964"/>
      <c r="F56" s="959"/>
      <c r="G56" s="959">
        <f t="shared" si="1"/>
        <v>0</v>
      </c>
      <c r="H56" s="959"/>
      <c r="I56" s="959">
        <f t="shared" si="1"/>
        <v>0</v>
      </c>
      <c r="J56" s="959"/>
      <c r="K56" s="959">
        <f t="shared" si="1"/>
        <v>0</v>
      </c>
      <c r="L56" s="959"/>
      <c r="M56" s="959">
        <f t="shared" si="1"/>
        <v>0</v>
      </c>
      <c r="N56" s="959"/>
      <c r="O56" s="959">
        <f t="shared" si="1"/>
        <v>0</v>
      </c>
      <c r="P56" s="959"/>
      <c r="Q56" s="959">
        <f t="shared" si="1"/>
        <v>0</v>
      </c>
      <c r="R56" s="959"/>
      <c r="S56" s="959">
        <f t="shared" si="1"/>
        <v>0</v>
      </c>
      <c r="T56" s="959"/>
      <c r="U56" s="959">
        <f t="shared" si="1"/>
        <v>0</v>
      </c>
      <c r="V56" s="959"/>
      <c r="W56" s="959">
        <f t="shared" si="1"/>
        <v>0</v>
      </c>
      <c r="X56" s="959"/>
      <c r="Y56" s="959">
        <f t="shared" si="1"/>
        <v>0</v>
      </c>
      <c r="Z56" s="959"/>
      <c r="AA56" s="959">
        <f t="shared" si="1"/>
        <v>0</v>
      </c>
      <c r="AB56" s="959"/>
      <c r="AC56" s="959">
        <f t="shared" si="1"/>
        <v>0</v>
      </c>
      <c r="AD56" s="959"/>
      <c r="AE56" s="959">
        <f t="shared" si="1"/>
        <v>0</v>
      </c>
      <c r="AF56" s="959"/>
      <c r="AG56" s="959">
        <f t="shared" si="1"/>
        <v>0</v>
      </c>
      <c r="AH56" s="959"/>
    </row>
    <row r="57" spans="1:34" s="3" customFormat="1">
      <c r="A57" s="965"/>
      <c r="B57" s="965"/>
      <c r="C57" s="957"/>
      <c r="E57" s="966"/>
      <c r="F57" s="959"/>
      <c r="G57" s="967">
        <f t="shared" si="1"/>
        <v>0</v>
      </c>
      <c r="H57" s="959"/>
      <c r="I57" s="967">
        <f t="shared" si="1"/>
        <v>0</v>
      </c>
      <c r="J57" s="959"/>
      <c r="K57" s="967">
        <f t="shared" si="1"/>
        <v>0</v>
      </c>
      <c r="L57" s="959"/>
      <c r="M57" s="967">
        <f t="shared" si="1"/>
        <v>0</v>
      </c>
      <c r="N57" s="959"/>
      <c r="O57" s="967">
        <f t="shared" si="1"/>
        <v>0</v>
      </c>
      <c r="P57" s="959"/>
      <c r="Q57" s="967">
        <f t="shared" si="1"/>
        <v>0</v>
      </c>
      <c r="R57" s="959"/>
      <c r="S57" s="967">
        <f t="shared" si="1"/>
        <v>0</v>
      </c>
      <c r="T57" s="959"/>
      <c r="U57" s="967">
        <f t="shared" si="1"/>
        <v>0</v>
      </c>
      <c r="V57" s="959"/>
      <c r="W57" s="967">
        <f t="shared" si="1"/>
        <v>0</v>
      </c>
      <c r="X57" s="959"/>
      <c r="Y57" s="967">
        <f t="shared" si="1"/>
        <v>0</v>
      </c>
      <c r="Z57" s="959"/>
      <c r="AA57" s="967">
        <f t="shared" si="1"/>
        <v>0</v>
      </c>
      <c r="AB57" s="959"/>
      <c r="AC57" s="967">
        <f t="shared" si="1"/>
        <v>0</v>
      </c>
      <c r="AD57" s="959"/>
      <c r="AE57" s="967">
        <f t="shared" si="1"/>
        <v>0</v>
      </c>
      <c r="AF57" s="959"/>
      <c r="AG57" s="967">
        <f t="shared" si="1"/>
        <v>0</v>
      </c>
      <c r="AH57" s="959"/>
    </row>
    <row r="58" spans="1:34" s="3" customFormat="1">
      <c r="A58" s="961" t="s">
        <v>854</v>
      </c>
      <c r="C58" s="960"/>
      <c r="E58" s="959">
        <f>SUM(E53:E57)</f>
        <v>0</v>
      </c>
      <c r="F58" s="959"/>
      <c r="G58" s="959">
        <f>SUM(G53:G57)</f>
        <v>0</v>
      </c>
      <c r="H58" s="959"/>
      <c r="I58" s="959">
        <f>SUM(I53:I57)</f>
        <v>0</v>
      </c>
      <c r="J58" s="959"/>
      <c r="K58" s="959">
        <f>SUM(K53:K57)</f>
        <v>0</v>
      </c>
      <c r="L58" s="959"/>
      <c r="M58" s="959">
        <f>SUM(M53:M57)</f>
        <v>0</v>
      </c>
      <c r="N58" s="959"/>
      <c r="O58" s="959">
        <f>SUM(O53:O57)</f>
        <v>0</v>
      </c>
      <c r="P58" s="959"/>
      <c r="Q58" s="959">
        <f>SUM(Q53:Q57)</f>
        <v>0</v>
      </c>
      <c r="R58" s="959"/>
      <c r="S58" s="959">
        <f>SUM(S53:S57)</f>
        <v>0</v>
      </c>
      <c r="T58" s="959"/>
      <c r="U58" s="959">
        <f>SUM(U53:U57)</f>
        <v>0</v>
      </c>
      <c r="V58" s="959"/>
      <c r="W58" s="959">
        <f>SUM(W53:W57)</f>
        <v>0</v>
      </c>
      <c r="X58" s="959"/>
      <c r="Y58" s="959">
        <f>SUM(Y53:Y57)</f>
        <v>0</v>
      </c>
      <c r="Z58" s="959"/>
      <c r="AA58" s="959">
        <f>SUM(AA53:AA57)</f>
        <v>0</v>
      </c>
      <c r="AB58" s="959"/>
      <c r="AC58" s="959">
        <f>SUM(AC53:AC57)</f>
        <v>0</v>
      </c>
      <c r="AD58" s="959"/>
      <c r="AE58" s="959">
        <f>SUM(AE53:AE57)</f>
        <v>0</v>
      </c>
      <c r="AF58" s="959"/>
      <c r="AG58" s="959">
        <f>SUM(AG53:AG57)</f>
        <v>0</v>
      </c>
      <c r="AH58" s="959"/>
    </row>
    <row r="59" spans="1:34" s="3" customFormat="1" ht="12.75" customHeight="1">
      <c r="A59" s="961"/>
      <c r="C59" s="960"/>
      <c r="E59" s="959"/>
      <c r="F59" s="959"/>
      <c r="G59" s="959"/>
      <c r="H59" s="959"/>
      <c r="I59" s="959"/>
      <c r="J59" s="959"/>
      <c r="K59" s="959"/>
      <c r="L59" s="959"/>
      <c r="M59" s="959"/>
      <c r="N59" s="959"/>
      <c r="O59" s="959"/>
      <c r="P59" s="959"/>
      <c r="Q59" s="959"/>
      <c r="R59" s="959"/>
      <c r="S59" s="959"/>
      <c r="T59" s="959"/>
      <c r="U59" s="959"/>
      <c r="V59" s="959"/>
      <c r="W59" s="959"/>
      <c r="X59" s="959"/>
      <c r="Y59" s="959"/>
      <c r="Z59" s="959"/>
      <c r="AA59" s="959"/>
      <c r="AB59" s="959"/>
      <c r="AC59" s="959"/>
      <c r="AD59" s="959"/>
      <c r="AE59" s="959"/>
      <c r="AF59" s="959"/>
      <c r="AG59" s="959"/>
      <c r="AH59" s="959"/>
    </row>
    <row r="60" spans="1:34" s="961" customFormat="1">
      <c r="A60" s="961" t="s">
        <v>859</v>
      </c>
      <c r="C60" s="968"/>
      <c r="E60" s="961">
        <f>E45-E58</f>
        <v>152804.12312240538</v>
      </c>
      <c r="G60" s="961">
        <f>G45-G58</f>
        <v>169209.1635250902</v>
      </c>
      <c r="I60" s="961">
        <f>I45-I58</f>
        <v>185492.56993784138</v>
      </c>
      <c r="K60" s="961">
        <f>K45-K58</f>
        <v>201632.67791091173</v>
      </c>
      <c r="M60" s="961">
        <f>M45-M58</f>
        <v>217606.62931730959</v>
      </c>
      <c r="O60" s="961">
        <f>O45-O58</f>
        <v>233390.3196837561</v>
      </c>
      <c r="Q60" s="961">
        <f>Q45-Q58</f>
        <v>248958.34340587875</v>
      </c>
      <c r="S60" s="961">
        <f>S45-S58</f>
        <v>264283.93676676333</v>
      </c>
      <c r="U60" s="961">
        <f>U45-U58</f>
        <v>279338.91867500555</v>
      </c>
      <c r="W60" s="961">
        <f>W45-W58</f>
        <v>294093.62903531</v>
      </c>
      <c r="Y60" s="961">
        <f>Y45-Y58</f>
        <v>308516.86466140265</v>
      </c>
      <c r="AA60" s="961">
        <f>AA45-AA58</f>
        <v>322575.81263775018</v>
      </c>
      <c r="AC60" s="961">
        <f>AC45-AC58</f>
        <v>336235.98103308689</v>
      </c>
      <c r="AE60" s="961">
        <f>AE45-AE58</f>
        <v>349461.12686513888</v>
      </c>
      <c r="AG60" s="961">
        <f>AG45-AG58</f>
        <v>362213.18121227121</v>
      </c>
    </row>
    <row r="61" spans="1:34" s="3" customFormat="1" ht="8.25" customHeight="1">
      <c r="C61" s="960"/>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959"/>
    </row>
    <row r="62" spans="1:34" s="961" customFormat="1">
      <c r="A62" s="961" t="s">
        <v>858</v>
      </c>
      <c r="C62" s="958">
        <v>0.5</v>
      </c>
      <c r="E62" s="963">
        <f>E60*$C$62</f>
        <v>76402.061561202689</v>
      </c>
      <c r="G62" s="961">
        <f>G60*$C$62</f>
        <v>84604.581762545102</v>
      </c>
      <c r="I62" s="961">
        <f>I60*$C$62</f>
        <v>92746.284968920692</v>
      </c>
      <c r="K62" s="961">
        <f>K60*$C$62</f>
        <v>100816.33895545587</v>
      </c>
      <c r="M62" s="961">
        <f>M60*$C$62</f>
        <v>108803.3146586548</v>
      </c>
      <c r="O62" s="961">
        <f>O60*$C$62</f>
        <v>116695.15984187805</v>
      </c>
      <c r="Q62" s="961">
        <f>Q60*$C$62</f>
        <v>124479.17170293938</v>
      </c>
      <c r="S62" s="961">
        <f>S60*$C$62</f>
        <v>132141.96838338167</v>
      </c>
      <c r="U62" s="961">
        <f>U60*$C$62</f>
        <v>139669.45933750278</v>
      </c>
      <c r="W62" s="961">
        <f>W60*$C$62</f>
        <v>147046.814517655</v>
      </c>
      <c r="Y62" s="961">
        <f>Y60*$C$62</f>
        <v>154258.43233070133</v>
      </c>
      <c r="AA62" s="961">
        <f>AA60*$C$62</f>
        <v>161287.90631887509</v>
      </c>
      <c r="AC62" s="961">
        <f>AC60*$C$62</f>
        <v>168117.99051654345</v>
      </c>
      <c r="AE62" s="961">
        <f>AE60*$C$62</f>
        <v>174730.56343256944</v>
      </c>
      <c r="AG62" s="961">
        <f>AG60*$C$62</f>
        <v>181106.59060613561</v>
      </c>
    </row>
    <row r="63" spans="1:34" s="961" customFormat="1">
      <c r="A63" s="2704" t="s">
        <v>1185</v>
      </c>
      <c r="B63" s="2704"/>
      <c r="C63" s="2704"/>
    </row>
    <row r="64" spans="1:34" s="3" customFormat="1" ht="8.25" customHeight="1">
      <c r="C64" s="960"/>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959"/>
    </row>
    <row r="65" spans="1:34" s="3" customFormat="1">
      <c r="A65" s="3" t="s">
        <v>862</v>
      </c>
      <c r="C65" s="958">
        <v>0.25</v>
      </c>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959"/>
    </row>
    <row r="66" spans="1:34" s="961" customFormat="1">
      <c r="A66" s="963"/>
      <c r="B66" s="963"/>
      <c r="C66" s="962"/>
      <c r="E66" s="963">
        <f>$E60*$C$65</f>
        <v>38201.030780601344</v>
      </c>
      <c r="G66" s="959">
        <f>G60*$C$65</f>
        <v>42302.290881272551</v>
      </c>
      <c r="I66" s="959">
        <f>I60*$C$65</f>
        <v>46373.142484460346</v>
      </c>
      <c r="K66" s="959">
        <f>K60*$C$65</f>
        <v>50408.169477727934</v>
      </c>
      <c r="M66" s="959">
        <f>M60*$C$65</f>
        <v>54401.657329327398</v>
      </c>
      <c r="O66" s="959">
        <f>O60*$C$65</f>
        <v>58347.579920939024</v>
      </c>
      <c r="Q66" s="959">
        <f>Q60*$C$65</f>
        <v>62239.585851469688</v>
      </c>
      <c r="S66" s="959">
        <f>S60*$C$65</f>
        <v>66070.984191690834</v>
      </c>
      <c r="U66" s="959">
        <f>U60*$C$65</f>
        <v>69834.729668751388</v>
      </c>
      <c r="W66" s="959">
        <f>W60*$C$65</f>
        <v>73523.407258827501</v>
      </c>
      <c r="Y66" s="959">
        <f>Y60*$C$65</f>
        <v>77129.216165350663</v>
      </c>
      <c r="AA66" s="959">
        <f>AA60*$C$65</f>
        <v>80643.953159437544</v>
      </c>
      <c r="AC66" s="959">
        <f>AC60*$C$65</f>
        <v>84058.995258271723</v>
      </c>
      <c r="AE66" s="959">
        <f>AE60*$C$65</f>
        <v>87365.28171628472</v>
      </c>
      <c r="AG66" s="959">
        <f>AG60*$C$65</f>
        <v>90553.295303067804</v>
      </c>
    </row>
    <row r="67" spans="1:34" s="959" customFormat="1">
      <c r="A67" s="964"/>
      <c r="B67" s="964"/>
      <c r="C67" s="969"/>
      <c r="E67" s="963">
        <f>$E60*$C$65</f>
        <v>38201.030780601344</v>
      </c>
      <c r="G67" s="959">
        <f>G60*$C$65</f>
        <v>42302.290881272551</v>
      </c>
      <c r="I67" s="959">
        <f>I60*$C$65</f>
        <v>46373.142484460346</v>
      </c>
      <c r="K67" s="959">
        <f>K60*$C$65</f>
        <v>50408.169477727934</v>
      </c>
      <c r="M67" s="959">
        <f>M60*$C$65</f>
        <v>54401.657329327398</v>
      </c>
      <c r="O67" s="959">
        <f>O60*$C$65</f>
        <v>58347.579920939024</v>
      </c>
      <c r="Q67" s="959">
        <f>Q60*$C$65</f>
        <v>62239.585851469688</v>
      </c>
      <c r="S67" s="959">
        <f>S60*$C$65</f>
        <v>66070.984191690834</v>
      </c>
      <c r="U67" s="959">
        <f>U60*$C$65</f>
        <v>69834.729668751388</v>
      </c>
      <c r="W67" s="959">
        <f>W60*$C$65</f>
        <v>73523.407258827501</v>
      </c>
      <c r="Y67" s="959">
        <f>Y60*$C$65</f>
        <v>77129.216165350663</v>
      </c>
      <c r="AA67" s="959">
        <f>AA60*$C$65</f>
        <v>80643.953159437544</v>
      </c>
      <c r="AC67" s="959">
        <f>AC60*$C$65</f>
        <v>84058.995258271723</v>
      </c>
      <c r="AE67" s="959">
        <f>AE60*$C$65</f>
        <v>87365.28171628472</v>
      </c>
      <c r="AG67" s="959">
        <f>AG60*$C$65</f>
        <v>90553.295303067804</v>
      </c>
    </row>
    <row r="68" spans="1:34" s="959" customFormat="1">
      <c r="A68" s="964"/>
      <c r="B68" s="964"/>
      <c r="C68" s="969"/>
      <c r="E68" s="964"/>
      <c r="G68" s="959">
        <f t="shared" ref="G68:AG69" si="2">E68*$C$66</f>
        <v>0</v>
      </c>
      <c r="I68" s="959">
        <f t="shared" si="2"/>
        <v>0</v>
      </c>
      <c r="K68" s="959">
        <f t="shared" si="2"/>
        <v>0</v>
      </c>
      <c r="M68" s="959">
        <f t="shared" si="2"/>
        <v>0</v>
      </c>
      <c r="O68" s="959">
        <f t="shared" si="2"/>
        <v>0</v>
      </c>
      <c r="Q68" s="959">
        <f t="shared" si="2"/>
        <v>0</v>
      </c>
      <c r="S68" s="959">
        <f t="shared" si="2"/>
        <v>0</v>
      </c>
      <c r="U68" s="959">
        <f t="shared" si="2"/>
        <v>0</v>
      </c>
      <c r="W68" s="959">
        <f t="shared" si="2"/>
        <v>0</v>
      </c>
      <c r="Y68" s="959">
        <f t="shared" si="2"/>
        <v>0</v>
      </c>
      <c r="AA68" s="959">
        <f t="shared" si="2"/>
        <v>0</v>
      </c>
      <c r="AC68" s="959">
        <f t="shared" si="2"/>
        <v>0</v>
      </c>
      <c r="AE68" s="959">
        <f t="shared" si="2"/>
        <v>0</v>
      </c>
      <c r="AG68" s="959">
        <f t="shared" si="2"/>
        <v>0</v>
      </c>
    </row>
    <row r="69" spans="1:34" s="959" customFormat="1">
      <c r="A69" s="964"/>
      <c r="B69" s="964"/>
      <c r="C69" s="969"/>
      <c r="E69" s="966"/>
      <c r="G69" s="967">
        <f t="shared" si="2"/>
        <v>0</v>
      </c>
      <c r="I69" s="967">
        <f t="shared" si="2"/>
        <v>0</v>
      </c>
      <c r="K69" s="967">
        <f t="shared" si="2"/>
        <v>0</v>
      </c>
      <c r="M69" s="967">
        <f t="shared" si="2"/>
        <v>0</v>
      </c>
      <c r="O69" s="967">
        <f t="shared" si="2"/>
        <v>0</v>
      </c>
      <c r="Q69" s="967">
        <f t="shared" si="2"/>
        <v>0</v>
      </c>
      <c r="S69" s="967">
        <f t="shared" si="2"/>
        <v>0</v>
      </c>
      <c r="U69" s="967">
        <f t="shared" si="2"/>
        <v>0</v>
      </c>
      <c r="W69" s="967">
        <f t="shared" si="2"/>
        <v>0</v>
      </c>
      <c r="Y69" s="967">
        <f t="shared" si="2"/>
        <v>0</v>
      </c>
      <c r="AA69" s="967">
        <f t="shared" si="2"/>
        <v>0</v>
      </c>
      <c r="AC69" s="967">
        <f t="shared" si="2"/>
        <v>0</v>
      </c>
      <c r="AE69" s="967">
        <f t="shared" si="2"/>
        <v>0</v>
      </c>
      <c r="AG69" s="967">
        <f t="shared" si="2"/>
        <v>0</v>
      </c>
    </row>
    <row r="70" spans="1:34" s="959" customFormat="1">
      <c r="A70" s="961" t="s">
        <v>854</v>
      </c>
      <c r="C70" s="969"/>
      <c r="E70" s="959">
        <f>SUM(E66:E69)</f>
        <v>76402.061561202689</v>
      </c>
      <c r="G70" s="959">
        <f>SUM(G66:G69)</f>
        <v>84604.581762545102</v>
      </c>
      <c r="I70" s="959">
        <f>SUM(I66:I69)</f>
        <v>92746.284968920692</v>
      </c>
      <c r="K70" s="959">
        <f>SUM(K66:K69)</f>
        <v>100816.33895545587</v>
      </c>
      <c r="M70" s="959">
        <f>SUM(M66:M69)</f>
        <v>108803.3146586548</v>
      </c>
      <c r="O70" s="959">
        <f>SUM(O66:O69)</f>
        <v>116695.15984187805</v>
      </c>
      <c r="Q70" s="959">
        <f>SUM(Q66:Q69)</f>
        <v>124479.17170293938</v>
      </c>
      <c r="S70" s="959">
        <f>SUM(S66:S69)</f>
        <v>132141.96838338167</v>
      </c>
      <c r="U70" s="959">
        <f>SUM(U66:U69)</f>
        <v>139669.45933750278</v>
      </c>
      <c r="W70" s="959">
        <f>SUM(W66:W69)</f>
        <v>147046.814517655</v>
      </c>
      <c r="Y70" s="959">
        <f>SUM(Y66:Y69)</f>
        <v>154258.43233070133</v>
      </c>
      <c r="AA70" s="959">
        <f>SUM(AA66:AA69)</f>
        <v>161287.90631887509</v>
      </c>
      <c r="AC70" s="959">
        <f>SUM(AC66:AC69)</f>
        <v>168117.99051654345</v>
      </c>
      <c r="AE70" s="959">
        <f>SUM(AE66:AE69)</f>
        <v>174730.56343256944</v>
      </c>
      <c r="AG70" s="959">
        <f>SUM(AG66:AG69)</f>
        <v>181106.59060613561</v>
      </c>
    </row>
    <row r="71" spans="1:34" s="959" customFormat="1">
      <c r="A71" s="961"/>
      <c r="C71" s="969"/>
    </row>
    <row r="72" spans="1:34" s="959" customFormat="1">
      <c r="A72" s="961" t="s">
        <v>1724</v>
      </c>
      <c r="C72" s="969"/>
      <c r="E72" s="961">
        <f>E60-E62-E70</f>
        <v>0</v>
      </c>
      <c r="G72" s="961">
        <f>G60-G62-G70</f>
        <v>0</v>
      </c>
      <c r="I72" s="961">
        <f>I60-I62-I70</f>
        <v>0</v>
      </c>
      <c r="K72" s="961">
        <f>K60-K62-K70</f>
        <v>0</v>
      </c>
      <c r="M72" s="961">
        <f>M60-M62-M70</f>
        <v>0</v>
      </c>
      <c r="O72" s="961">
        <f>O60-O62-O70</f>
        <v>0</v>
      </c>
      <c r="Q72" s="961">
        <f>Q60-Q62-Q70</f>
        <v>0</v>
      </c>
      <c r="S72" s="961">
        <f>S60-S62-S70</f>
        <v>0</v>
      </c>
      <c r="U72" s="961">
        <f>U60-U62-U70</f>
        <v>0</v>
      </c>
      <c r="W72" s="961">
        <f>W60-W62-W70</f>
        <v>0</v>
      </c>
      <c r="Y72" s="961">
        <f>Y60-Y62-Y70</f>
        <v>0</v>
      </c>
      <c r="AA72" s="961">
        <f>AA60-AA62-AA70</f>
        <v>0</v>
      </c>
      <c r="AC72" s="961">
        <f>AC60-AC62-AC70</f>
        <v>0</v>
      </c>
      <c r="AE72" s="961">
        <f>AE60-AE62-AE70</f>
        <v>0</v>
      </c>
      <c r="AG72" s="961">
        <f>AG60-AG62-AG70</f>
        <v>0</v>
      </c>
    </row>
    <row r="73" spans="1:34" s="959" customFormat="1">
      <c r="A73" s="528"/>
      <c r="C73" s="969"/>
    </row>
    <row r="74" spans="1:34" s="217" customFormat="1">
      <c r="A74" s="528"/>
      <c r="C74" s="183"/>
    </row>
    <row r="75" spans="1:34" s="217" customFormat="1">
      <c r="A75" s="959" t="s">
        <v>1723</v>
      </c>
      <c r="C75" s="183"/>
    </row>
    <row r="76" spans="1:34" s="217" customFormat="1">
      <c r="C76" s="183"/>
    </row>
    <row r="77" spans="1:34" s="234" customFormat="1" ht="30" customHeight="1">
      <c r="A77" s="2702" t="s">
        <v>1722</v>
      </c>
      <c r="B77" s="2703"/>
      <c r="C77" s="2703"/>
      <c r="D77" s="2703"/>
      <c r="E77" s="2703"/>
      <c r="F77" s="2703"/>
      <c r="G77" s="2703"/>
      <c r="H77" s="2703"/>
      <c r="I77" s="2703"/>
      <c r="J77" s="2703"/>
      <c r="K77" s="2703"/>
      <c r="L77" s="2703"/>
      <c r="M77" s="2703"/>
      <c r="N77" s="2703"/>
      <c r="O77" s="2703"/>
      <c r="P77" s="2703"/>
      <c r="Q77" s="2703"/>
      <c r="R77" s="2703"/>
      <c r="S77" s="2703"/>
      <c r="T77" s="2703"/>
      <c r="U77" s="2703"/>
      <c r="V77" s="2703"/>
      <c r="W77" s="2703"/>
      <c r="X77" s="2703"/>
      <c r="Y77" s="2703"/>
      <c r="Z77" s="2703"/>
      <c r="AA77" s="2703"/>
      <c r="AB77" s="2703"/>
      <c r="AC77" s="2703"/>
      <c r="AD77" s="2703"/>
      <c r="AE77" s="2703"/>
      <c r="AF77" s="2703"/>
      <c r="AG77" s="270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2" t="s">
        <v>972</v>
      </c>
    </row>
    <row r="2" spans="1:1" ht="15.75">
      <c r="A2" s="313"/>
    </row>
    <row r="3" spans="1:1" ht="15.75">
      <c r="A3" s="314" t="s">
        <v>967</v>
      </c>
    </row>
    <row r="4" spans="1:1" ht="15.75">
      <c r="A4" s="314" t="s">
        <v>968</v>
      </c>
    </row>
    <row r="5" spans="1:1" ht="15.75">
      <c r="A5" s="314" t="s">
        <v>969</v>
      </c>
    </row>
    <row r="6" spans="1:1" ht="15.75">
      <c r="A6" s="314" t="s">
        <v>971</v>
      </c>
    </row>
    <row r="7" spans="1:1" ht="15.75">
      <c r="A7" s="314" t="s">
        <v>970</v>
      </c>
    </row>
    <row r="8" spans="1:1" ht="15.75">
      <c r="A8" s="345" t="s">
        <v>1025</v>
      </c>
    </row>
    <row r="9" spans="1:1" ht="15.75">
      <c r="A9" s="314"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4" customFormat="1" ht="18" customHeight="1">
      <c r="A1" s="512" t="s">
        <v>1218</v>
      </c>
      <c r="D1" s="279"/>
    </row>
    <row r="2" spans="1:6" s="274" customFormat="1">
      <c r="A2" s="258" t="s">
        <v>890</v>
      </c>
      <c r="B2" s="260"/>
      <c r="C2" s="260"/>
      <c r="D2" s="257"/>
      <c r="E2" s="261"/>
      <c r="F2" s="260"/>
    </row>
    <row r="3" spans="1:6" s="350" customFormat="1" ht="80.25" customHeight="1">
      <c r="A3" s="276"/>
      <c r="B3" s="262" t="s">
        <v>891</v>
      </c>
      <c r="C3" s="262" t="s">
        <v>892</v>
      </c>
      <c r="D3" s="262" t="s">
        <v>893</v>
      </c>
      <c r="E3" s="259" t="s">
        <v>894</v>
      </c>
      <c r="F3" s="259"/>
    </row>
    <row r="4" spans="1:6" s="351" customFormat="1">
      <c r="A4" s="263" t="s">
        <v>26</v>
      </c>
      <c r="B4" s="263"/>
      <c r="C4" s="263"/>
      <c r="D4" s="263"/>
      <c r="E4" s="281"/>
      <c r="F4" s="263"/>
    </row>
    <row r="5" spans="1:6" s="351" customFormat="1">
      <c r="A5" s="363" t="s">
        <v>27</v>
      </c>
      <c r="B5" s="265">
        <f>'Sources and Uses Budget'!$C4</f>
        <v>98</v>
      </c>
      <c r="C5" s="265">
        <f>'Sources and Uses Budget'!$C4</f>
        <v>98</v>
      </c>
      <c r="D5" s="269">
        <f>C5-B5</f>
        <v>0</v>
      </c>
      <c r="E5" s="267"/>
      <c r="F5" s="266"/>
    </row>
    <row r="6" spans="1:6" s="351" customFormat="1">
      <c r="A6" s="363" t="s">
        <v>28</v>
      </c>
      <c r="B6" s="265">
        <f>'Sources and Uses Budget'!$C5</f>
        <v>0</v>
      </c>
      <c r="C6" s="265">
        <f>'Sources and Uses Budget'!$C5</f>
        <v>0</v>
      </c>
      <c r="D6" s="269">
        <f t="shared" ref="D6:D77" si="0">C6-B6</f>
        <v>0</v>
      </c>
      <c r="E6" s="267"/>
      <c r="F6" s="266"/>
    </row>
    <row r="7" spans="1:6" s="351" customFormat="1">
      <c r="A7" s="363" t="s">
        <v>29</v>
      </c>
      <c r="B7" s="265">
        <f>'Sources and Uses Budget'!$C6</f>
        <v>0</v>
      </c>
      <c r="C7" s="265">
        <f>'Sources and Uses Budget'!$C6</f>
        <v>0</v>
      </c>
      <c r="D7" s="269">
        <f t="shared" si="0"/>
        <v>0</v>
      </c>
      <c r="E7" s="267"/>
      <c r="F7" s="266"/>
    </row>
    <row r="8" spans="1:6" s="351" customFormat="1">
      <c r="A8" s="363" t="s">
        <v>97</v>
      </c>
      <c r="B8" s="265">
        <f>'Sources and Uses Budget'!$C7</f>
        <v>0</v>
      </c>
      <c r="C8" s="265">
        <f>'Sources and Uses Budget'!$C7</f>
        <v>0</v>
      </c>
      <c r="D8" s="269">
        <f t="shared" si="0"/>
        <v>0</v>
      </c>
      <c r="E8" s="267"/>
      <c r="F8" s="266"/>
    </row>
    <row r="9" spans="1:6" s="351" customFormat="1">
      <c r="A9" s="364" t="s">
        <v>594</v>
      </c>
      <c r="B9" s="269">
        <f>SUM(B5:B8)</f>
        <v>98</v>
      </c>
      <c r="C9" s="269">
        <f>SUM(C5:C8)</f>
        <v>98</v>
      </c>
      <c r="D9" s="269">
        <f t="shared" si="0"/>
        <v>0</v>
      </c>
      <c r="E9" s="267"/>
      <c r="F9" s="266"/>
    </row>
    <row r="10" spans="1:6" s="351" customFormat="1">
      <c r="A10" s="363" t="s">
        <v>595</v>
      </c>
      <c r="B10" s="265">
        <f>'Sources and Uses Budget'!$C9</f>
        <v>0</v>
      </c>
      <c r="C10" s="265">
        <f>'Sources and Uses Budget'!$C9</f>
        <v>0</v>
      </c>
      <c r="D10" s="269">
        <f t="shared" si="0"/>
        <v>0</v>
      </c>
      <c r="E10" s="267"/>
      <c r="F10" s="266"/>
    </row>
    <row r="11" spans="1:6" s="351" customFormat="1">
      <c r="A11" s="363" t="s">
        <v>596</v>
      </c>
      <c r="B11" s="265">
        <f>'Sources and Uses Budget'!$C10</f>
        <v>0</v>
      </c>
      <c r="C11" s="265">
        <f>'Sources and Uses Budget'!$C10</f>
        <v>0</v>
      </c>
      <c r="D11" s="269">
        <f t="shared" si="0"/>
        <v>0</v>
      </c>
      <c r="E11" s="267"/>
      <c r="F11" s="266"/>
    </row>
    <row r="12" spans="1:6" s="351" customFormat="1">
      <c r="A12" s="364" t="s">
        <v>597</v>
      </c>
      <c r="B12" s="269">
        <f>SUM(B10:B11)</f>
        <v>0</v>
      </c>
      <c r="C12" s="269">
        <f>SUM(C10:C11)</f>
        <v>0</v>
      </c>
      <c r="D12" s="269">
        <f t="shared" si="0"/>
        <v>0</v>
      </c>
      <c r="E12" s="267"/>
      <c r="F12" s="266"/>
    </row>
    <row r="13" spans="1:6" s="351" customFormat="1">
      <c r="A13" s="364" t="s">
        <v>84</v>
      </c>
      <c r="B13" s="269">
        <f>SUM(B9+B12)</f>
        <v>98</v>
      </c>
      <c r="C13" s="269">
        <f>SUM(C9+C12)</f>
        <v>98</v>
      </c>
      <c r="D13" s="269">
        <f t="shared" si="0"/>
        <v>0</v>
      </c>
      <c r="E13" s="267"/>
      <c r="F13" s="266"/>
    </row>
    <row r="14" spans="1:6" s="351" customFormat="1">
      <c r="A14" s="365" t="s">
        <v>903</v>
      </c>
      <c r="B14" s="265">
        <f>'Sources and Uses Budget'!$C13</f>
        <v>63861</v>
      </c>
      <c r="C14" s="265">
        <f>'Sources and Uses Budget'!$C13</f>
        <v>63861</v>
      </c>
      <c r="D14" s="269">
        <f t="shared" si="0"/>
        <v>0</v>
      </c>
      <c r="E14" s="267"/>
      <c r="F14" s="266"/>
    </row>
    <row r="15" spans="1:6" s="351" customFormat="1" ht="24">
      <c r="A15" s="363" t="s">
        <v>904</v>
      </c>
      <c r="B15" s="265">
        <f>'Sources and Uses Budget'!$C14</f>
        <v>0</v>
      </c>
      <c r="C15" s="265">
        <f>'Sources and Uses Budget'!$C14</f>
        <v>0</v>
      </c>
      <c r="D15" s="269">
        <f t="shared" si="0"/>
        <v>0</v>
      </c>
      <c r="E15" s="267"/>
      <c r="F15" s="266"/>
    </row>
    <row r="16" spans="1:6" s="351" customFormat="1">
      <c r="A16" s="363" t="s">
        <v>1162</v>
      </c>
      <c r="B16" s="265">
        <f>'Sources and Uses Budget'!$C15</f>
        <v>0</v>
      </c>
      <c r="C16" s="265">
        <f>'Sources and Uses Budget'!$C15</f>
        <v>0</v>
      </c>
      <c r="D16" s="269">
        <f t="shared" si="0"/>
        <v>0</v>
      </c>
      <c r="E16" s="267"/>
      <c r="F16" s="266"/>
    </row>
    <row r="17" spans="1:6" s="351" customFormat="1">
      <c r="A17" s="263" t="s">
        <v>598</v>
      </c>
      <c r="B17" s="263"/>
      <c r="C17" s="263"/>
      <c r="D17" s="263"/>
      <c r="E17" s="281"/>
      <c r="F17" s="263"/>
    </row>
    <row r="18" spans="1:6" s="351" customFormat="1">
      <c r="A18" s="145" t="s">
        <v>599</v>
      </c>
      <c r="B18" s="265">
        <f>'Sources and Uses Budget'!$C17</f>
        <v>0</v>
      </c>
      <c r="C18" s="265">
        <f>'Sources and Uses Budget'!$C17</f>
        <v>0</v>
      </c>
      <c r="D18" s="269">
        <f t="shared" si="0"/>
        <v>0</v>
      </c>
      <c r="E18" s="267"/>
      <c r="F18" s="266"/>
    </row>
    <row r="19" spans="1:6" s="351" customFormat="1">
      <c r="A19" s="145" t="s">
        <v>600</v>
      </c>
      <c r="B19" s="265">
        <f>'Sources and Uses Budget'!$C18</f>
        <v>0</v>
      </c>
      <c r="C19" s="265">
        <f>'Sources and Uses Budget'!$C18</f>
        <v>0</v>
      </c>
      <c r="D19" s="269">
        <f t="shared" si="0"/>
        <v>0</v>
      </c>
      <c r="E19" s="267"/>
      <c r="F19" s="266"/>
    </row>
    <row r="20" spans="1:6" s="351" customFormat="1">
      <c r="A20" s="145" t="s">
        <v>601</v>
      </c>
      <c r="B20" s="265">
        <f>'Sources and Uses Budget'!$C19</f>
        <v>0</v>
      </c>
      <c r="C20" s="265">
        <f>'Sources and Uses Budget'!$C19</f>
        <v>0</v>
      </c>
      <c r="D20" s="269">
        <f t="shared" si="0"/>
        <v>0</v>
      </c>
      <c r="E20" s="267"/>
      <c r="F20" s="266"/>
    </row>
    <row r="21" spans="1:6" s="351" customFormat="1">
      <c r="A21" s="145" t="s">
        <v>137</v>
      </c>
      <c r="B21" s="265">
        <f>'Sources and Uses Budget'!$C20</f>
        <v>0</v>
      </c>
      <c r="C21" s="265">
        <f>'Sources and Uses Budget'!$C20</f>
        <v>0</v>
      </c>
      <c r="D21" s="269">
        <f t="shared" si="0"/>
        <v>0</v>
      </c>
      <c r="E21" s="267"/>
      <c r="F21" s="266"/>
    </row>
    <row r="22" spans="1:6" s="351" customFormat="1">
      <c r="A22" s="145" t="s">
        <v>138</v>
      </c>
      <c r="B22" s="265">
        <f>'Sources and Uses Budget'!$C21</f>
        <v>0</v>
      </c>
      <c r="C22" s="265">
        <f>'Sources and Uses Budget'!$C21</f>
        <v>0</v>
      </c>
      <c r="D22" s="269">
        <f t="shared" si="0"/>
        <v>0</v>
      </c>
      <c r="E22" s="267"/>
      <c r="F22" s="266"/>
    </row>
    <row r="23" spans="1:6" s="351" customFormat="1">
      <c r="A23" s="145" t="s">
        <v>139</v>
      </c>
      <c r="B23" s="265">
        <f>'Sources and Uses Budget'!$C22</f>
        <v>0</v>
      </c>
      <c r="C23" s="265">
        <f>'Sources and Uses Budget'!$C22</f>
        <v>0</v>
      </c>
      <c r="D23" s="269">
        <f t="shared" si="0"/>
        <v>0</v>
      </c>
      <c r="E23" s="267"/>
      <c r="F23" s="266"/>
    </row>
    <row r="24" spans="1:6" s="351" customFormat="1">
      <c r="A24" s="145" t="s">
        <v>140</v>
      </c>
      <c r="B24" s="265">
        <f>'Sources and Uses Budget'!$C23</f>
        <v>0</v>
      </c>
      <c r="C24" s="265">
        <f>'Sources and Uses Budget'!$C23</f>
        <v>0</v>
      </c>
      <c r="D24" s="269">
        <f t="shared" si="0"/>
        <v>0</v>
      </c>
      <c r="E24" s="267"/>
      <c r="F24" s="266"/>
    </row>
    <row r="25" spans="1:6" s="351" customFormat="1">
      <c r="A25" s="507" t="s">
        <v>1641</v>
      </c>
      <c r="B25" s="265">
        <f>'Sources and Uses Budget'!$C24</f>
        <v>0</v>
      </c>
      <c r="C25" s="265">
        <f>'Sources and Uses Budget'!$C24</f>
        <v>0</v>
      </c>
      <c r="D25" s="269">
        <f t="shared" si="0"/>
        <v>0</v>
      </c>
      <c r="E25" s="267"/>
      <c r="F25" s="266"/>
    </row>
    <row r="26" spans="1:6" s="351" customFormat="1">
      <c r="A26" s="155" t="str">
        <f>'Sources and Uses Budget'!A25</f>
        <v>Other: (Specify)</v>
      </c>
      <c r="B26" s="265">
        <f>'Sources and Uses Budget'!$C25</f>
        <v>0</v>
      </c>
      <c r="C26" s="265">
        <f>'Sources and Uses Budget'!$C25</f>
        <v>0</v>
      </c>
      <c r="D26" s="269">
        <f t="shared" si="0"/>
        <v>0</v>
      </c>
      <c r="E26" s="267"/>
      <c r="F26" s="266"/>
    </row>
    <row r="27" spans="1:6" s="351" customFormat="1">
      <c r="A27" s="1017" t="s">
        <v>133</v>
      </c>
      <c r="B27" s="269">
        <f>SUM(B18:B26)</f>
        <v>0</v>
      </c>
      <c r="C27" s="269">
        <f>SUM(C18:C26)</f>
        <v>0</v>
      </c>
      <c r="D27" s="269">
        <f>SUM(D18:D26)</f>
        <v>0</v>
      </c>
      <c r="E27" s="267"/>
      <c r="F27" s="266"/>
    </row>
    <row r="28" spans="1:6" s="351" customFormat="1">
      <c r="A28" s="270" t="s">
        <v>141</v>
      </c>
      <c r="B28" s="265">
        <f>'Sources and Uses Budget'!$C$27</f>
        <v>0</v>
      </c>
      <c r="C28" s="265">
        <f>'Sources and Uses Budget'!$C$27</f>
        <v>0</v>
      </c>
      <c r="D28" s="269">
        <f t="shared" si="0"/>
        <v>0</v>
      </c>
      <c r="E28" s="267"/>
      <c r="F28" s="266"/>
    </row>
    <row r="29" spans="1:6" s="351" customFormat="1">
      <c r="A29" s="263" t="s">
        <v>142</v>
      </c>
      <c r="B29" s="263"/>
      <c r="C29" s="263"/>
      <c r="D29" s="263"/>
      <c r="E29" s="281"/>
      <c r="F29" s="263"/>
    </row>
    <row r="30" spans="1:6" s="351" customFormat="1">
      <c r="A30" s="145" t="s">
        <v>599</v>
      </c>
      <c r="B30" s="265">
        <f>'Sources and Uses Budget'!$C29</f>
        <v>3725440</v>
      </c>
      <c r="C30" s="265">
        <f>'Sources and Uses Budget'!$C29</f>
        <v>3725440</v>
      </c>
      <c r="D30" s="269">
        <f t="shared" si="0"/>
        <v>0</v>
      </c>
      <c r="E30" s="267"/>
      <c r="F30" s="266"/>
    </row>
    <row r="31" spans="1:6" s="351" customFormat="1">
      <c r="A31" s="145" t="s">
        <v>600</v>
      </c>
      <c r="B31" s="265">
        <f>'Sources and Uses Budget'!$C30</f>
        <v>46799414</v>
      </c>
      <c r="C31" s="265">
        <f>'Sources and Uses Budget'!$C30</f>
        <v>46799414</v>
      </c>
      <c r="D31" s="269">
        <f t="shared" si="0"/>
        <v>0</v>
      </c>
      <c r="E31" s="267"/>
      <c r="F31" s="266"/>
    </row>
    <row r="32" spans="1:6" s="351" customFormat="1">
      <c r="A32" s="145" t="s">
        <v>601</v>
      </c>
      <c r="B32" s="265">
        <f>'Sources and Uses Budget'!$C31</f>
        <v>2987222</v>
      </c>
      <c r="C32" s="265">
        <f>'Sources and Uses Budget'!$C31</f>
        <v>2987222</v>
      </c>
      <c r="D32" s="269">
        <f t="shared" si="0"/>
        <v>0</v>
      </c>
      <c r="E32" s="267"/>
      <c r="F32" s="266"/>
    </row>
    <row r="33" spans="1:6" s="351" customFormat="1">
      <c r="A33" s="145" t="s">
        <v>137</v>
      </c>
      <c r="B33" s="265">
        <f>'Sources and Uses Budget'!$C32</f>
        <v>1048113</v>
      </c>
      <c r="C33" s="265">
        <f>'Sources and Uses Budget'!$C32</f>
        <v>1048113</v>
      </c>
      <c r="D33" s="269">
        <f t="shared" si="0"/>
        <v>0</v>
      </c>
      <c r="E33" s="267"/>
      <c r="F33" s="266"/>
    </row>
    <row r="34" spans="1:6" s="351" customFormat="1">
      <c r="A34" s="145" t="s">
        <v>138</v>
      </c>
      <c r="B34" s="265">
        <f>'Sources and Uses Budget'!$C33</f>
        <v>3160444</v>
      </c>
      <c r="C34" s="265">
        <f>'Sources and Uses Budget'!$C33</f>
        <v>3160444</v>
      </c>
      <c r="D34" s="269">
        <f t="shared" si="0"/>
        <v>0</v>
      </c>
      <c r="E34" s="267"/>
      <c r="F34" s="266"/>
    </row>
    <row r="35" spans="1:6" s="351" customFormat="1">
      <c r="A35" s="145" t="s">
        <v>139</v>
      </c>
      <c r="B35" s="265">
        <f>'Sources and Uses Budget'!$C34</f>
        <v>0</v>
      </c>
      <c r="C35" s="265">
        <f>'Sources and Uses Budget'!$C34</f>
        <v>0</v>
      </c>
      <c r="D35" s="269">
        <f t="shared" si="0"/>
        <v>0</v>
      </c>
      <c r="E35" s="267"/>
      <c r="F35" s="266"/>
    </row>
    <row r="36" spans="1:6" s="351" customFormat="1">
      <c r="A36" s="145" t="s">
        <v>140</v>
      </c>
      <c r="B36" s="265">
        <f>'Sources and Uses Budget'!$C35</f>
        <v>1937831</v>
      </c>
      <c r="C36" s="265">
        <f>'Sources and Uses Budget'!$C35</f>
        <v>1937831</v>
      </c>
      <c r="D36" s="269">
        <f t="shared" si="0"/>
        <v>0</v>
      </c>
      <c r="E36" s="267"/>
      <c r="F36" s="266"/>
    </row>
    <row r="37" spans="1:6" s="351" customFormat="1">
      <c r="A37" s="282" t="s">
        <v>1641</v>
      </c>
      <c r="B37" s="265">
        <f>'Sources and Uses Budget'!$C36</f>
        <v>0</v>
      </c>
      <c r="C37" s="265">
        <f>'Sources and Uses Budget'!$C36</f>
        <v>0</v>
      </c>
      <c r="D37" s="269"/>
      <c r="E37" s="267"/>
      <c r="F37" s="266"/>
    </row>
    <row r="38" spans="1:6" s="351" customFormat="1">
      <c r="A38" s="155" t="str">
        <f>'Sources and Uses Budget'!A37</f>
        <v>Other: (Specify)</v>
      </c>
      <c r="B38" s="265">
        <f>'Sources and Uses Budget'!$C37</f>
        <v>0</v>
      </c>
      <c r="C38" s="265">
        <f>'Sources and Uses Budget'!$C37</f>
        <v>0</v>
      </c>
      <c r="D38" s="269">
        <f t="shared" si="0"/>
        <v>0</v>
      </c>
      <c r="E38" s="267"/>
      <c r="F38" s="266"/>
    </row>
    <row r="39" spans="1:6" s="351" customFormat="1">
      <c r="A39" s="270" t="s">
        <v>143</v>
      </c>
      <c r="B39" s="269">
        <f>SUM(B30:B38)</f>
        <v>59658464</v>
      </c>
      <c r="C39" s="269">
        <f>SUM(C30:C38)</f>
        <v>59658464</v>
      </c>
      <c r="D39" s="269">
        <f t="shared" si="0"/>
        <v>0</v>
      </c>
      <c r="E39" s="267"/>
      <c r="F39" s="266"/>
    </row>
    <row r="40" spans="1:6" s="351" customFormat="1">
      <c r="A40" s="263" t="s">
        <v>144</v>
      </c>
      <c r="B40" s="263"/>
      <c r="C40" s="263"/>
      <c r="D40" s="263"/>
      <c r="E40" s="281"/>
      <c r="F40" s="263"/>
    </row>
    <row r="41" spans="1:6" s="351" customFormat="1">
      <c r="A41" s="268" t="s">
        <v>145</v>
      </c>
      <c r="B41" s="265">
        <f>'Sources and Uses Budget'!$C40</f>
        <v>2307206</v>
      </c>
      <c r="C41" s="265">
        <f>'Sources and Uses Budget'!$C40</f>
        <v>2307206</v>
      </c>
      <c r="D41" s="269">
        <f t="shared" si="0"/>
        <v>0</v>
      </c>
      <c r="E41" s="267"/>
      <c r="F41" s="266"/>
    </row>
    <row r="42" spans="1:6" s="351" customFormat="1">
      <c r="A42" s="268" t="s">
        <v>146</v>
      </c>
      <c r="B42" s="265">
        <f>'Sources and Uses Budget'!$C41</f>
        <v>81055</v>
      </c>
      <c r="C42" s="265">
        <f>'Sources and Uses Budget'!$C41</f>
        <v>81055</v>
      </c>
      <c r="D42" s="269">
        <f t="shared" si="0"/>
        <v>0</v>
      </c>
      <c r="E42" s="267"/>
      <c r="F42" s="266"/>
    </row>
    <row r="43" spans="1:6" s="351" customFormat="1">
      <c r="A43" s="270" t="s">
        <v>147</v>
      </c>
      <c r="B43" s="269">
        <f>SUM(B41:B42)</f>
        <v>2388261</v>
      </c>
      <c r="C43" s="269">
        <f>SUM(C41:C42)</f>
        <v>2388261</v>
      </c>
      <c r="D43" s="269">
        <f t="shared" si="0"/>
        <v>0</v>
      </c>
      <c r="E43" s="267"/>
      <c r="F43" s="266"/>
    </row>
    <row r="44" spans="1:6" s="351" customFormat="1">
      <c r="A44" s="270" t="s">
        <v>148</v>
      </c>
      <c r="B44" s="265">
        <f>'Sources and Uses Budget'!$C43</f>
        <v>926807</v>
      </c>
      <c r="C44" s="265">
        <f>'Sources and Uses Budget'!$C43</f>
        <v>926807</v>
      </c>
      <c r="D44" s="269">
        <f t="shared" si="0"/>
        <v>0</v>
      </c>
      <c r="E44" s="267"/>
      <c r="F44" s="266"/>
    </row>
    <row r="45" spans="1:6" s="351" customFormat="1" ht="12" customHeight="1">
      <c r="A45" s="263" t="s">
        <v>149</v>
      </c>
      <c r="B45" s="263"/>
      <c r="C45" s="263"/>
      <c r="D45" s="263"/>
      <c r="E45" s="281"/>
      <c r="F45" s="263"/>
    </row>
    <row r="46" spans="1:6" s="351" customFormat="1">
      <c r="A46" s="145" t="s">
        <v>150</v>
      </c>
      <c r="B46" s="265">
        <f>'Sources and Uses Budget'!$C45</f>
        <v>4865262</v>
      </c>
      <c r="C46" s="265">
        <f>'Sources and Uses Budget'!$C45</f>
        <v>4865262</v>
      </c>
      <c r="D46" s="269">
        <f t="shared" si="0"/>
        <v>0</v>
      </c>
      <c r="E46" s="267"/>
      <c r="F46" s="266"/>
    </row>
    <row r="47" spans="1:6" s="351" customFormat="1">
      <c r="A47" s="145" t="s">
        <v>151</v>
      </c>
      <c r="B47" s="265">
        <f>'Sources and Uses Budget'!$C46</f>
        <v>333653</v>
      </c>
      <c r="C47" s="265">
        <f>'Sources and Uses Budget'!$C46</f>
        <v>333653</v>
      </c>
      <c r="D47" s="269">
        <f t="shared" si="0"/>
        <v>0</v>
      </c>
      <c r="E47" s="267"/>
      <c r="F47" s="266"/>
    </row>
    <row r="48" spans="1:6" s="351" customFormat="1" ht="12" customHeight="1">
      <c r="A48" s="186" t="s">
        <v>152</v>
      </c>
      <c r="B48" s="265">
        <f>'Sources and Uses Budget'!$C47</f>
        <v>0</v>
      </c>
      <c r="C48" s="265">
        <f>'Sources and Uses Budget'!$C47</f>
        <v>0</v>
      </c>
      <c r="D48" s="269">
        <f t="shared" si="0"/>
        <v>0</v>
      </c>
      <c r="E48" s="267"/>
      <c r="F48" s="266"/>
    </row>
    <row r="49" spans="1:6" s="351" customFormat="1">
      <c r="A49" s="145" t="s">
        <v>153</v>
      </c>
      <c r="B49" s="265">
        <f>'Sources and Uses Budget'!$C48</f>
        <v>0</v>
      </c>
      <c r="C49" s="265">
        <f>'Sources and Uses Budget'!$C48</f>
        <v>0</v>
      </c>
      <c r="D49" s="269">
        <f t="shared" si="0"/>
        <v>0</v>
      </c>
      <c r="E49" s="267"/>
      <c r="F49" s="266"/>
    </row>
    <row r="50" spans="1:6" s="351" customFormat="1">
      <c r="A50" s="145" t="s">
        <v>57</v>
      </c>
      <c r="B50" s="265">
        <f>'Sources and Uses Budget'!$C49</f>
        <v>383207</v>
      </c>
      <c r="C50" s="265">
        <f>'Sources and Uses Budget'!$C49</f>
        <v>383207</v>
      </c>
      <c r="D50" s="269">
        <f t="shared" si="0"/>
        <v>0</v>
      </c>
      <c r="E50" s="267"/>
      <c r="F50" s="266"/>
    </row>
    <row r="51" spans="1:6" s="351" customFormat="1">
      <c r="A51" s="145" t="s">
        <v>156</v>
      </c>
      <c r="B51" s="265">
        <f>'Sources and Uses Budget'!$C50</f>
        <v>196496</v>
      </c>
      <c r="C51" s="265">
        <f>'Sources and Uses Budget'!$C50</f>
        <v>196496</v>
      </c>
      <c r="D51" s="269">
        <f t="shared" si="0"/>
        <v>0</v>
      </c>
      <c r="E51" s="267"/>
      <c r="F51" s="266"/>
    </row>
    <row r="52" spans="1:6" s="351" customFormat="1">
      <c r="A52" s="282" t="s">
        <v>154</v>
      </c>
      <c r="B52" s="265">
        <f>'Sources and Uses Budget'!$C51</f>
        <v>14737</v>
      </c>
      <c r="C52" s="265">
        <f>'Sources and Uses Budget'!$C51</f>
        <v>14737</v>
      </c>
      <c r="D52" s="269">
        <f t="shared" si="0"/>
        <v>0</v>
      </c>
      <c r="E52" s="267"/>
      <c r="F52" s="266"/>
    </row>
    <row r="53" spans="1:6" s="351" customFormat="1">
      <c r="A53" s="145" t="s">
        <v>155</v>
      </c>
      <c r="B53" s="265">
        <f>'Sources and Uses Budget'!$C52</f>
        <v>1287048</v>
      </c>
      <c r="C53" s="265">
        <f>'Sources and Uses Budget'!$C52</f>
        <v>1287048</v>
      </c>
      <c r="D53" s="269">
        <f t="shared" si="0"/>
        <v>0</v>
      </c>
      <c r="E53" s="267"/>
      <c r="F53" s="266"/>
    </row>
    <row r="54" spans="1:6" s="351" customFormat="1">
      <c r="A54" s="155" t="str">
        <f>'Sources and Uses Budget'!A53</f>
        <v>Other: Lender Expenses</v>
      </c>
      <c r="B54" s="265">
        <f>'Sources and Uses Budget'!$C53</f>
        <v>51400</v>
      </c>
      <c r="C54" s="265">
        <f>'Sources and Uses Budget'!$C53</f>
        <v>51400</v>
      </c>
      <c r="D54" s="269">
        <f t="shared" si="0"/>
        <v>0</v>
      </c>
      <c r="E54" s="267"/>
      <c r="F54" s="266"/>
    </row>
    <row r="55" spans="1:6" s="352" customFormat="1">
      <c r="A55" s="270" t="s">
        <v>157</v>
      </c>
      <c r="B55" s="272">
        <f>SUM(B46:B54)</f>
        <v>7131803</v>
      </c>
      <c r="C55" s="272">
        <f>SUM(C46:C54)</f>
        <v>7131803</v>
      </c>
      <c r="D55" s="269">
        <f t="shared" si="0"/>
        <v>0</v>
      </c>
      <c r="E55" s="267"/>
      <c r="F55" s="266"/>
    </row>
    <row r="56" spans="1:6" s="351" customFormat="1">
      <c r="A56" s="263" t="s">
        <v>418</v>
      </c>
      <c r="B56" s="263"/>
      <c r="C56" s="263"/>
      <c r="D56" s="263"/>
      <c r="E56" s="281"/>
      <c r="F56" s="263"/>
    </row>
    <row r="57" spans="1:6" s="351" customFormat="1">
      <c r="A57" s="268" t="s">
        <v>158</v>
      </c>
      <c r="B57" s="265">
        <f>'Sources and Uses Budget'!$C56</f>
        <v>103590</v>
      </c>
      <c r="C57" s="265">
        <f>'Sources and Uses Budget'!$C56</f>
        <v>103590</v>
      </c>
      <c r="D57" s="269">
        <f t="shared" si="0"/>
        <v>0</v>
      </c>
      <c r="E57" s="267"/>
      <c r="F57" s="266"/>
    </row>
    <row r="58" spans="1:6" s="351" customFormat="1" ht="12" customHeight="1">
      <c r="A58" s="268" t="s">
        <v>152</v>
      </c>
      <c r="B58" s="265">
        <f>'Sources and Uses Budget'!$C57</f>
        <v>0</v>
      </c>
      <c r="C58" s="265">
        <f>'Sources and Uses Budget'!$C57</f>
        <v>0</v>
      </c>
      <c r="D58" s="269">
        <f t="shared" si="0"/>
        <v>0</v>
      </c>
      <c r="E58" s="267"/>
      <c r="F58" s="266"/>
    </row>
    <row r="59" spans="1:6" s="351" customFormat="1">
      <c r="A59" s="268" t="s">
        <v>156</v>
      </c>
      <c r="B59" s="265">
        <f>'Sources and Uses Budget'!$C58</f>
        <v>36436</v>
      </c>
      <c r="C59" s="265">
        <f>'Sources and Uses Budget'!$C58</f>
        <v>36436</v>
      </c>
      <c r="D59" s="269">
        <f t="shared" si="0"/>
        <v>0</v>
      </c>
      <c r="E59" s="267"/>
      <c r="F59" s="266"/>
    </row>
    <row r="60" spans="1:6" s="351" customFormat="1">
      <c r="A60" s="268" t="s">
        <v>154</v>
      </c>
      <c r="B60" s="265">
        <f>'Sources and Uses Budget'!$C59</f>
        <v>0</v>
      </c>
      <c r="C60" s="265">
        <f>'Sources and Uses Budget'!$C59</f>
        <v>0</v>
      </c>
      <c r="D60" s="269">
        <f t="shared" si="0"/>
        <v>0</v>
      </c>
      <c r="E60" s="267"/>
      <c r="F60" s="266"/>
    </row>
    <row r="61" spans="1:6" s="351" customFormat="1">
      <c r="A61" s="268" t="s">
        <v>155</v>
      </c>
      <c r="B61" s="265">
        <f>'Sources and Uses Budget'!$C60</f>
        <v>0</v>
      </c>
      <c r="C61" s="265">
        <f>'Sources and Uses Budget'!$C60</f>
        <v>0</v>
      </c>
      <c r="D61" s="269">
        <f t="shared" si="0"/>
        <v>0</v>
      </c>
      <c r="E61" s="267"/>
      <c r="F61" s="266"/>
    </row>
    <row r="62" spans="1:6" s="351" customFormat="1">
      <c r="A62" s="1018" t="str">
        <f>'Sources and Uses Budget'!A61</f>
        <v>Other: Lender Expenses</v>
      </c>
      <c r="B62" s="265">
        <f>'Sources and Uses Budget'!$C61</f>
        <v>49650</v>
      </c>
      <c r="C62" s="265">
        <f>'Sources and Uses Budget'!$C61</f>
        <v>49650</v>
      </c>
      <c r="D62" s="269">
        <f t="shared" si="0"/>
        <v>0</v>
      </c>
      <c r="E62" s="267"/>
      <c r="F62" s="266"/>
    </row>
    <row r="63" spans="1:6" s="351" customFormat="1" ht="13.7" customHeight="1">
      <c r="A63" s="270" t="s">
        <v>301</v>
      </c>
      <c r="B63" s="269">
        <f>SUM(B57:B62)</f>
        <v>189676</v>
      </c>
      <c r="C63" s="269">
        <f>SUM(C57:C62)</f>
        <v>189676</v>
      </c>
      <c r="D63" s="269">
        <f t="shared" si="0"/>
        <v>0</v>
      </c>
      <c r="E63" s="267"/>
      <c r="F63" s="266"/>
    </row>
    <row r="64" spans="1:6" s="351" customFormat="1">
      <c r="A64" s="273" t="s">
        <v>302</v>
      </c>
      <c r="B64" s="269">
        <f>SUM(B9+B12+B14+B15+B17+B26+B28+B39+B43+B44+B55+B63)</f>
        <v>70358970</v>
      </c>
      <c r="C64" s="269">
        <f>SUM(C9+C12+C14+C15+C17+C26+C28+C39+C43+C44+C55+C63)</f>
        <v>70358970</v>
      </c>
      <c r="D64" s="269">
        <f t="shared" si="0"/>
        <v>0</v>
      </c>
      <c r="E64" s="267"/>
      <c r="F64" s="266"/>
    </row>
    <row r="65" spans="1:6" s="351" customFormat="1" ht="24">
      <c r="A65" s="141" t="s">
        <v>1645</v>
      </c>
      <c r="B65" s="263"/>
      <c r="C65" s="263"/>
      <c r="D65" s="263"/>
      <c r="E65" s="281"/>
      <c r="F65" s="263"/>
    </row>
    <row r="66" spans="1:6" s="351" customFormat="1">
      <c r="A66" s="145" t="s">
        <v>171</v>
      </c>
      <c r="B66" s="265">
        <f>'Sources and Uses Budget'!$C65</f>
        <v>165000</v>
      </c>
      <c r="C66" s="265">
        <f>'Sources and Uses Budget'!$C65</f>
        <v>165000</v>
      </c>
      <c r="D66" s="269">
        <f t="shared" si="0"/>
        <v>0</v>
      </c>
      <c r="E66" s="267"/>
      <c r="F66" s="266"/>
    </row>
    <row r="67" spans="1:6" s="351" customFormat="1" ht="24">
      <c r="A67" s="282" t="s">
        <v>1642</v>
      </c>
      <c r="B67" s="265">
        <f>'Sources and Uses Budget'!$C66</f>
        <v>0</v>
      </c>
      <c r="C67" s="265">
        <f>'Sources and Uses Budget'!$C66</f>
        <v>0</v>
      </c>
      <c r="D67" s="269"/>
      <c r="E67" s="267"/>
      <c r="F67" s="266"/>
    </row>
    <row r="68" spans="1:6" s="351" customFormat="1" ht="24">
      <c r="A68" s="282" t="s">
        <v>1643</v>
      </c>
      <c r="B68" s="265">
        <f>'Sources and Uses Budget'!$C67</f>
        <v>0</v>
      </c>
      <c r="C68" s="265">
        <f>'Sources and Uses Budget'!$C67</f>
        <v>0</v>
      </c>
      <c r="D68" s="269"/>
      <c r="E68" s="267"/>
      <c r="F68" s="266"/>
    </row>
    <row r="69" spans="1:6" s="351" customFormat="1">
      <c r="A69" s="282" t="s">
        <v>1649</v>
      </c>
      <c r="B69" s="265">
        <f>'Sources and Uses Budget'!$C68</f>
        <v>0</v>
      </c>
      <c r="C69" s="265">
        <f>'Sources and Uses Budget'!$C68</f>
        <v>0</v>
      </c>
      <c r="D69" s="269"/>
      <c r="E69" s="267"/>
      <c r="F69" s="266"/>
    </row>
    <row r="70" spans="1:6" s="351" customFormat="1">
      <c r="A70" s="155" t="str">
        <f>'Sources and Uses Budget'!A69</f>
        <v>Other: GP/Sponsor Counsel</v>
      </c>
      <c r="B70" s="265">
        <f>'Sources and Uses Budget'!$C69</f>
        <v>117898</v>
      </c>
      <c r="C70" s="265">
        <f>'Sources and Uses Budget'!$C69</f>
        <v>117898</v>
      </c>
      <c r="D70" s="269">
        <f t="shared" si="0"/>
        <v>0</v>
      </c>
      <c r="E70" s="267"/>
      <c r="F70" s="266"/>
    </row>
    <row r="71" spans="1:6" s="351" customFormat="1">
      <c r="A71" s="149" t="s">
        <v>1646</v>
      </c>
      <c r="B71" s="269">
        <f>SUM(B66:B70)</f>
        <v>282898</v>
      </c>
      <c r="C71" s="269">
        <f>SUM(C66:C70)</f>
        <v>282898</v>
      </c>
      <c r="D71" s="269">
        <f t="shared" si="0"/>
        <v>0</v>
      </c>
      <c r="E71" s="267"/>
      <c r="F71" s="266"/>
    </row>
    <row r="72" spans="1:6" s="351" customFormat="1">
      <c r="A72" s="263" t="s">
        <v>603</v>
      </c>
      <c r="B72" s="263"/>
      <c r="C72" s="263"/>
      <c r="D72" s="263"/>
      <c r="E72" s="281"/>
      <c r="F72" s="263"/>
    </row>
    <row r="73" spans="1:6" s="351" customFormat="1">
      <c r="A73" s="268" t="s">
        <v>604</v>
      </c>
      <c r="B73" s="265">
        <f>'Sources and Uses Budget'!$C72</f>
        <v>0</v>
      </c>
      <c r="C73" s="265">
        <f>'Sources and Uses Budget'!$C72</f>
        <v>0</v>
      </c>
      <c r="D73" s="269">
        <f t="shared" si="0"/>
        <v>0</v>
      </c>
      <c r="E73" s="267"/>
      <c r="F73" s="266"/>
    </row>
    <row r="74" spans="1:6" s="351" customFormat="1">
      <c r="A74" s="268" t="s">
        <v>605</v>
      </c>
      <c r="B74" s="265">
        <f>'Sources and Uses Budget'!$C73</f>
        <v>0</v>
      </c>
      <c r="C74" s="265">
        <f>'Sources and Uses Budget'!$C73</f>
        <v>0</v>
      </c>
      <c r="D74" s="269">
        <f t="shared" si="0"/>
        <v>0</v>
      </c>
      <c r="E74" s="267"/>
      <c r="F74" s="266"/>
    </row>
    <row r="75" spans="1:6" s="351" customFormat="1">
      <c r="A75" s="286" t="s">
        <v>987</v>
      </c>
      <c r="B75" s="265">
        <f>'Sources and Uses Budget'!$C74</f>
        <v>0</v>
      </c>
      <c r="C75" s="265">
        <f>'Sources and Uses Budget'!$C74</f>
        <v>0</v>
      </c>
      <c r="D75" s="269">
        <f t="shared" si="0"/>
        <v>0</v>
      </c>
      <c r="E75" s="267"/>
      <c r="F75" s="266"/>
    </row>
    <row r="76" spans="1:6" s="351" customFormat="1">
      <c r="A76" s="268" t="s">
        <v>606</v>
      </c>
      <c r="B76" s="265">
        <f>'Sources and Uses Budget'!$C75</f>
        <v>660010</v>
      </c>
      <c r="C76" s="265">
        <f>'Sources and Uses Budget'!$C75</f>
        <v>660010</v>
      </c>
      <c r="D76" s="269">
        <f t="shared" si="0"/>
        <v>0</v>
      </c>
      <c r="E76" s="267"/>
      <c r="F76" s="266"/>
    </row>
    <row r="77" spans="1:6" s="351" customFormat="1">
      <c r="A77" s="271" t="s">
        <v>34</v>
      </c>
      <c r="B77" s="265">
        <f>'Sources and Uses Budget'!$C76</f>
        <v>255312</v>
      </c>
      <c r="C77" s="265">
        <f>'Sources and Uses Budget'!$C76</f>
        <v>255312</v>
      </c>
      <c r="D77" s="269">
        <f t="shared" si="0"/>
        <v>0</v>
      </c>
      <c r="E77" s="267"/>
      <c r="F77" s="266"/>
    </row>
    <row r="78" spans="1:6" s="351" customFormat="1">
      <c r="A78" s="270" t="s">
        <v>607</v>
      </c>
      <c r="B78" s="269">
        <f>SUM(B73:B77)</f>
        <v>915322</v>
      </c>
      <c r="C78" s="269">
        <f>SUM(C73:C77)</f>
        <v>915322</v>
      </c>
      <c r="D78" s="269">
        <f t="shared" ref="D78:D106" si="1">C78-B78</f>
        <v>0</v>
      </c>
      <c r="E78" s="267"/>
      <c r="F78" s="266"/>
    </row>
    <row r="79" spans="1:6" s="351" customFormat="1">
      <c r="A79" s="263" t="s">
        <v>1211</v>
      </c>
      <c r="B79" s="263"/>
      <c r="C79" s="263"/>
      <c r="D79" s="263"/>
      <c r="E79" s="281"/>
      <c r="F79" s="263"/>
    </row>
    <row r="80" spans="1:6" s="351" customFormat="1">
      <c r="A80" s="509" t="s">
        <v>1213</v>
      </c>
      <c r="B80" s="265">
        <f>'Sources and Uses Budget'!$C79</f>
        <v>2982923</v>
      </c>
      <c r="C80" s="265">
        <f>'Sources and Uses Budget'!$C79</f>
        <v>2982923</v>
      </c>
      <c r="D80" s="269">
        <f t="shared" si="1"/>
        <v>0</v>
      </c>
      <c r="E80" s="267"/>
      <c r="F80" s="266"/>
    </row>
    <row r="81" spans="1:6" s="351" customFormat="1">
      <c r="A81" s="509" t="s">
        <v>58</v>
      </c>
      <c r="B81" s="265">
        <f>'Sources and Uses Budget'!$C80</f>
        <v>350212</v>
      </c>
      <c r="C81" s="265">
        <f>'Sources and Uses Budget'!$C80</f>
        <v>350212</v>
      </c>
      <c r="D81" s="269">
        <f>C81-B81</f>
        <v>0</v>
      </c>
      <c r="E81" s="267"/>
      <c r="F81" s="266"/>
    </row>
    <row r="82" spans="1:6" s="351" customFormat="1">
      <c r="A82" s="270" t="s">
        <v>1210</v>
      </c>
      <c r="B82" s="269">
        <f>SUM(B80:B81)</f>
        <v>3333135</v>
      </c>
      <c r="C82" s="269">
        <f>SUM(C80:C81)</f>
        <v>3333135</v>
      </c>
      <c r="D82" s="269">
        <f t="shared" si="1"/>
        <v>0</v>
      </c>
      <c r="E82" s="267"/>
      <c r="F82" s="266"/>
    </row>
    <row r="83" spans="1:6" s="351" customFormat="1">
      <c r="A83" s="263" t="s">
        <v>766</v>
      </c>
      <c r="B83" s="263"/>
      <c r="C83" s="263"/>
      <c r="D83" s="263"/>
      <c r="E83" s="281"/>
      <c r="F83" s="263"/>
    </row>
    <row r="84" spans="1:6" s="351" customFormat="1" ht="13.7" customHeight="1">
      <c r="A84" s="268" t="s">
        <v>767</v>
      </c>
      <c r="B84" s="265">
        <f>'Sources and Uses Budget'!$C83</f>
        <v>147849</v>
      </c>
      <c r="C84" s="265">
        <f>'Sources and Uses Budget'!$C83</f>
        <v>147849</v>
      </c>
      <c r="D84" s="269">
        <f t="shared" si="1"/>
        <v>0</v>
      </c>
      <c r="E84" s="267"/>
      <c r="F84" s="266"/>
    </row>
    <row r="85" spans="1:6" s="351" customFormat="1">
      <c r="A85" s="268" t="s">
        <v>768</v>
      </c>
      <c r="B85" s="265">
        <f>'Sources and Uses Budget'!$C84</f>
        <v>0</v>
      </c>
      <c r="C85" s="265">
        <f>'Sources and Uses Budget'!$C84</f>
        <v>0</v>
      </c>
      <c r="D85" s="269">
        <f t="shared" si="1"/>
        <v>0</v>
      </c>
      <c r="E85" s="267"/>
      <c r="F85" s="266"/>
    </row>
    <row r="86" spans="1:6" s="351" customFormat="1">
      <c r="A86" s="268" t="s">
        <v>769</v>
      </c>
      <c r="B86" s="265">
        <f>'Sources and Uses Budget'!$C85</f>
        <v>925116</v>
      </c>
      <c r="C86" s="265">
        <f>'Sources and Uses Budget'!$C85</f>
        <v>925116</v>
      </c>
      <c r="D86" s="269">
        <f t="shared" si="1"/>
        <v>0</v>
      </c>
      <c r="E86" s="267"/>
      <c r="F86" s="266"/>
    </row>
    <row r="87" spans="1:6" s="351" customFormat="1">
      <c r="A87" s="268" t="s">
        <v>770</v>
      </c>
      <c r="B87" s="265">
        <f>'Sources and Uses Budget'!$C86</f>
        <v>24562</v>
      </c>
      <c r="C87" s="265">
        <f>'Sources and Uses Budget'!$C86</f>
        <v>24562</v>
      </c>
      <c r="D87" s="269">
        <f t="shared" si="1"/>
        <v>0</v>
      </c>
      <c r="E87" s="267"/>
      <c r="F87" s="266"/>
    </row>
    <row r="88" spans="1:6" s="351" customFormat="1">
      <c r="A88" s="268" t="s">
        <v>771</v>
      </c>
      <c r="B88" s="265">
        <f>'Sources and Uses Budget'!$C87</f>
        <v>0</v>
      </c>
      <c r="C88" s="265">
        <f>'Sources and Uses Budget'!$C87</f>
        <v>0</v>
      </c>
      <c r="D88" s="269">
        <f t="shared" si="1"/>
        <v>0</v>
      </c>
      <c r="E88" s="267"/>
      <c r="F88" s="266"/>
    </row>
    <row r="89" spans="1:6" s="351" customFormat="1">
      <c r="A89" s="268" t="s">
        <v>772</v>
      </c>
      <c r="B89" s="265">
        <f>'Sources and Uses Budget'!$C88</f>
        <v>80000</v>
      </c>
      <c r="C89" s="265">
        <f>'Sources and Uses Budget'!$C88</f>
        <v>80000</v>
      </c>
      <c r="D89" s="269">
        <f t="shared" si="1"/>
        <v>0</v>
      </c>
      <c r="E89" s="267"/>
      <c r="F89" s="266"/>
    </row>
    <row r="90" spans="1:6" s="351" customFormat="1">
      <c r="A90" s="268" t="s">
        <v>773</v>
      </c>
      <c r="B90" s="265">
        <f>'Sources and Uses Budget'!$C89</f>
        <v>450000</v>
      </c>
      <c r="C90" s="265">
        <f>'Sources and Uses Budget'!$C89</f>
        <v>450000</v>
      </c>
      <c r="D90" s="269">
        <f t="shared" si="1"/>
        <v>0</v>
      </c>
      <c r="E90" s="267"/>
      <c r="F90" s="266"/>
    </row>
    <row r="91" spans="1:6" s="351" customFormat="1">
      <c r="A91" s="268" t="s">
        <v>774</v>
      </c>
      <c r="B91" s="265">
        <f>'Sources and Uses Budget'!$C90</f>
        <v>15000</v>
      </c>
      <c r="C91" s="265">
        <f>'Sources and Uses Budget'!$C90</f>
        <v>15000</v>
      </c>
      <c r="D91" s="269">
        <f t="shared" si="1"/>
        <v>0</v>
      </c>
      <c r="E91" s="267"/>
      <c r="F91" s="266"/>
    </row>
    <row r="92" spans="1:6" s="351" customFormat="1">
      <c r="A92" s="268" t="s">
        <v>372</v>
      </c>
      <c r="B92" s="265">
        <f>'Sources and Uses Budget'!$C91</f>
        <v>0</v>
      </c>
      <c r="C92" s="265">
        <f>'Sources and Uses Budget'!$C91</f>
        <v>0</v>
      </c>
      <c r="D92" s="269">
        <f t="shared" si="1"/>
        <v>0</v>
      </c>
      <c r="E92" s="267"/>
      <c r="F92" s="266"/>
    </row>
    <row r="93" spans="1:6" s="351" customFormat="1">
      <c r="A93" s="509" t="s">
        <v>1212</v>
      </c>
      <c r="B93" s="265">
        <f>'Sources and Uses Budget'!$C92</f>
        <v>14737</v>
      </c>
      <c r="C93" s="265">
        <f>'Sources and Uses Budget'!$C92</f>
        <v>14737</v>
      </c>
      <c r="D93" s="269">
        <f t="shared" si="1"/>
        <v>0</v>
      </c>
      <c r="E93" s="267"/>
      <c r="F93" s="266"/>
    </row>
    <row r="94" spans="1:6" s="351" customFormat="1">
      <c r="A94" s="271" t="s">
        <v>34</v>
      </c>
      <c r="B94" s="265">
        <f>'Sources and Uses Budget'!$C93</f>
        <v>176846</v>
      </c>
      <c r="C94" s="265">
        <f>'Sources and Uses Budget'!$C93</f>
        <v>176846</v>
      </c>
      <c r="D94" s="269">
        <f t="shared" si="1"/>
        <v>0</v>
      </c>
      <c r="E94" s="267"/>
      <c r="F94" s="266"/>
    </row>
    <row r="95" spans="1:6" s="351" customFormat="1">
      <c r="A95" s="271" t="s">
        <v>34</v>
      </c>
      <c r="B95" s="265">
        <f>'Sources and Uses Budget'!$C94</f>
        <v>171934</v>
      </c>
      <c r="C95" s="265">
        <f>'Sources and Uses Budget'!$C94</f>
        <v>171934</v>
      </c>
      <c r="D95" s="269">
        <f t="shared" si="1"/>
        <v>0</v>
      </c>
      <c r="E95" s="267"/>
      <c r="F95" s="266"/>
    </row>
    <row r="96" spans="1:6" s="351" customFormat="1">
      <c r="A96" s="271" t="s">
        <v>34</v>
      </c>
      <c r="B96" s="265">
        <f>'Sources and Uses Budget'!$C95</f>
        <v>0</v>
      </c>
      <c r="C96" s="265">
        <f>'Sources and Uses Budget'!$C95</f>
        <v>0</v>
      </c>
      <c r="D96" s="269">
        <f t="shared" si="1"/>
        <v>0</v>
      </c>
      <c r="E96" s="267"/>
      <c r="F96" s="266"/>
    </row>
    <row r="97" spans="1:6" s="351" customFormat="1">
      <c r="A97" s="270" t="s">
        <v>775</v>
      </c>
      <c r="B97" s="269">
        <f>SUM(B84:B96)</f>
        <v>2006044</v>
      </c>
      <c r="C97" s="269">
        <f>SUM(C84:C96)</f>
        <v>2006044</v>
      </c>
      <c r="D97" s="269">
        <f t="shared" si="1"/>
        <v>0</v>
      </c>
      <c r="E97" s="267"/>
      <c r="F97" s="266"/>
    </row>
    <row r="98" spans="1:6" s="351" customFormat="1">
      <c r="A98" s="270" t="s">
        <v>776</v>
      </c>
      <c r="B98" s="269">
        <f>SUM(B64+B71+B78+B82+B97)</f>
        <v>76896369</v>
      </c>
      <c r="C98" s="269">
        <f>SUM(C64+C71+C78+C82+C97)</f>
        <v>76896369</v>
      </c>
      <c r="D98" s="269">
        <f t="shared" si="1"/>
        <v>0</v>
      </c>
      <c r="E98" s="267"/>
      <c r="F98" s="266"/>
    </row>
    <row r="99" spans="1:6" s="351" customFormat="1">
      <c r="A99" s="263" t="s">
        <v>777</v>
      </c>
      <c r="B99" s="263"/>
      <c r="C99" s="263"/>
      <c r="D99" s="263"/>
      <c r="E99" s="281"/>
      <c r="F99" s="263"/>
    </row>
    <row r="100" spans="1:6" s="351" customFormat="1">
      <c r="A100" s="145" t="s">
        <v>778</v>
      </c>
      <c r="B100" s="265">
        <f>'Sources and Uses Budget'!$C99</f>
        <v>7466845</v>
      </c>
      <c r="C100" s="265">
        <f>'Sources and Uses Budget'!$C99</f>
        <v>7466845</v>
      </c>
      <c r="D100" s="269">
        <f t="shared" si="1"/>
        <v>0</v>
      </c>
      <c r="E100" s="267"/>
      <c r="F100" s="266"/>
    </row>
    <row r="101" spans="1:6" s="351" customFormat="1">
      <c r="A101" s="282" t="s">
        <v>1647</v>
      </c>
      <c r="B101" s="265">
        <f>'Sources and Uses Budget'!$C100</f>
        <v>0</v>
      </c>
      <c r="C101" s="265">
        <f>'Sources and Uses Budget'!$C100</f>
        <v>0</v>
      </c>
      <c r="D101" s="269">
        <f t="shared" si="1"/>
        <v>0</v>
      </c>
      <c r="E101" s="267"/>
      <c r="F101" s="266"/>
    </row>
    <row r="102" spans="1:6" s="351" customFormat="1">
      <c r="A102" s="145" t="s">
        <v>779</v>
      </c>
      <c r="B102" s="265">
        <f>'Sources and Uses Budget'!$C101</f>
        <v>0</v>
      </c>
      <c r="C102" s="265">
        <f>'Sources and Uses Budget'!$C101</f>
        <v>0</v>
      </c>
      <c r="D102" s="269">
        <f t="shared" si="1"/>
        <v>0</v>
      </c>
      <c r="E102" s="267"/>
      <c r="F102" s="266"/>
    </row>
    <row r="103" spans="1:6" s="351" customFormat="1" ht="12" customHeight="1">
      <c r="A103" s="282" t="s">
        <v>1648</v>
      </c>
      <c r="B103" s="265">
        <f>'Sources and Uses Budget'!$C102</f>
        <v>0</v>
      </c>
      <c r="C103" s="265">
        <f>'Sources and Uses Budget'!$C102</f>
        <v>0</v>
      </c>
      <c r="D103" s="269">
        <f t="shared" si="1"/>
        <v>0</v>
      </c>
      <c r="E103" s="267"/>
      <c r="F103" s="266"/>
    </row>
    <row r="104" spans="1:6" s="351" customFormat="1">
      <c r="A104" s="1018" t="str">
        <f>'Sources and Uses Budget'!A103</f>
        <v>Other: (Specify)</v>
      </c>
      <c r="B104" s="265">
        <f>'Sources and Uses Budget'!$C103</f>
        <v>0</v>
      </c>
      <c r="C104" s="265">
        <f>'Sources and Uses Budget'!$C103</f>
        <v>0</v>
      </c>
      <c r="D104" s="269">
        <f t="shared" si="1"/>
        <v>0</v>
      </c>
      <c r="E104" s="267"/>
      <c r="F104" s="266"/>
    </row>
    <row r="105" spans="1:6" s="351" customFormat="1">
      <c r="A105" s="270" t="s">
        <v>780</v>
      </c>
      <c r="B105" s="269">
        <f>SUM(B100:B104)</f>
        <v>7466845</v>
      </c>
      <c r="C105" s="269">
        <f>SUM(C100:C104)</f>
        <v>7466845</v>
      </c>
      <c r="D105" s="269">
        <f t="shared" si="1"/>
        <v>0</v>
      </c>
      <c r="E105" s="267"/>
      <c r="F105" s="266"/>
    </row>
    <row r="106" spans="1:6" s="351" customFormat="1">
      <c r="A106" s="270" t="s">
        <v>781</v>
      </c>
      <c r="B106" s="272">
        <f>SUM(B98+B105)</f>
        <v>84363214</v>
      </c>
      <c r="C106" s="272">
        <f>SUM(C98+C105)</f>
        <v>84363214</v>
      </c>
      <c r="D106" s="269">
        <f t="shared" si="1"/>
        <v>0</v>
      </c>
      <c r="E106" s="267"/>
      <c r="F106" s="266"/>
    </row>
    <row r="107" spans="1:6" s="351" customFormat="1">
      <c r="A107" s="276" t="s">
        <v>782</v>
      </c>
      <c r="B107" s="277"/>
      <c r="C107" s="278"/>
      <c r="D107" s="280"/>
      <c r="E107" s="264"/>
      <c r="F107" s="275"/>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6" customHeight="1" zeroHeight="1"/>
  <cols>
    <col min="1" max="10" width="10.7109375" style="401" customWidth="1"/>
    <col min="11" max="16384" width="8.85546875" style="401" hidden="1"/>
  </cols>
  <sheetData>
    <row r="1" spans="1:10" ht="15.75">
      <c r="A1" s="1278" t="s">
        <v>1870</v>
      </c>
      <c r="B1" s="1279"/>
      <c r="C1" s="1279"/>
      <c r="D1" s="1279"/>
      <c r="E1" s="1279"/>
      <c r="F1" s="1279"/>
      <c r="G1" s="1279"/>
      <c r="H1" s="1279"/>
      <c r="I1" s="1279"/>
      <c r="J1" s="1279"/>
    </row>
    <row r="2" spans="1:10" ht="15">
      <c r="A2" s="1282" t="s">
        <v>1269</v>
      </c>
      <c r="B2" s="1283"/>
      <c r="C2" s="1283"/>
      <c r="D2" s="1283"/>
      <c r="E2" s="1283"/>
      <c r="F2" s="1283"/>
      <c r="G2" s="1283"/>
      <c r="H2" s="1283"/>
      <c r="I2" s="1283"/>
      <c r="J2" s="1283"/>
    </row>
    <row r="3" spans="1:10" ht="12.75"/>
    <row r="4" spans="1:10" ht="12.75" customHeight="1">
      <c r="A4" s="1280" t="s">
        <v>2048</v>
      </c>
      <c r="B4" s="1280"/>
      <c r="C4" s="1280"/>
      <c r="D4" s="1280"/>
      <c r="E4" s="1280"/>
      <c r="F4" s="1280"/>
      <c r="G4" s="1280"/>
      <c r="H4" s="1280"/>
      <c r="I4" s="1280"/>
      <c r="J4" s="1280"/>
    </row>
    <row r="5" spans="1:10" ht="12.75">
      <c r="A5" s="1280"/>
      <c r="B5" s="1280"/>
      <c r="C5" s="1280"/>
      <c r="D5" s="1280"/>
      <c r="E5" s="1280"/>
      <c r="F5" s="1280"/>
      <c r="G5" s="1280"/>
      <c r="H5" s="1280"/>
      <c r="I5" s="1280"/>
      <c r="J5" s="1280"/>
    </row>
    <row r="6" spans="1:10" ht="30" customHeight="1">
      <c r="A6" s="1280"/>
      <c r="B6" s="1280"/>
      <c r="C6" s="1280"/>
      <c r="D6" s="1280"/>
      <c r="E6" s="1280"/>
      <c r="F6" s="1280"/>
      <c r="G6" s="1280"/>
      <c r="H6" s="1280"/>
      <c r="I6" s="1280"/>
      <c r="J6" s="1280"/>
    </row>
    <row r="7" spans="1:10" ht="12.75">
      <c r="A7" s="415"/>
      <c r="B7" s="415"/>
      <c r="C7" s="415"/>
      <c r="D7" s="415"/>
      <c r="E7" s="415"/>
      <c r="F7" s="415"/>
      <c r="G7" s="415"/>
      <c r="H7" s="415"/>
      <c r="I7" s="415"/>
      <c r="J7" s="415"/>
    </row>
    <row r="8" spans="1:10" ht="12.75" customHeight="1">
      <c r="A8" s="401" t="s">
        <v>1873</v>
      </c>
      <c r="B8" s="415"/>
      <c r="C8" s="415"/>
      <c r="D8" s="415"/>
      <c r="E8" s="415"/>
      <c r="F8" s="415"/>
      <c r="G8" s="415"/>
      <c r="H8" s="415"/>
      <c r="I8" s="415"/>
      <c r="J8" s="415"/>
    </row>
    <row r="9" spans="1:10" ht="12.75"/>
    <row r="10" spans="1:10" ht="12.75" customHeight="1">
      <c r="A10" s="1284" t="s">
        <v>1875</v>
      </c>
      <c r="B10" s="1284"/>
      <c r="C10" s="1284"/>
      <c r="D10" s="1284"/>
      <c r="E10" s="1284"/>
      <c r="F10" s="1284"/>
      <c r="G10" s="1284"/>
      <c r="H10" s="1284"/>
      <c r="I10" s="1284"/>
      <c r="J10" s="1284"/>
    </row>
    <row r="11" spans="1:10" ht="12.75">
      <c r="A11" s="1284"/>
      <c r="B11" s="1284"/>
      <c r="C11" s="1284"/>
      <c r="D11" s="1284"/>
      <c r="E11" s="1284"/>
      <c r="F11" s="1284"/>
      <c r="G11" s="1284"/>
      <c r="H11" s="1284"/>
      <c r="I11" s="1284"/>
      <c r="J11" s="1284"/>
    </row>
    <row r="12" spans="1:10" ht="12.75">
      <c r="A12" s="1284"/>
      <c r="B12" s="1284"/>
      <c r="C12" s="1284"/>
      <c r="D12" s="1284"/>
      <c r="E12" s="1284"/>
      <c r="F12" s="1284"/>
      <c r="G12" s="1284"/>
      <c r="H12" s="1284"/>
      <c r="I12" s="1284"/>
      <c r="J12" s="1284"/>
    </row>
    <row r="13" spans="1:10" ht="12.75">
      <c r="A13" s="1284"/>
      <c r="B13" s="1284"/>
      <c r="C13" s="1284"/>
      <c r="D13" s="1284"/>
      <c r="E13" s="1284"/>
      <c r="F13" s="1284"/>
      <c r="G13" s="1284"/>
      <c r="H13" s="1284"/>
      <c r="I13" s="1284"/>
      <c r="J13" s="1284"/>
    </row>
    <row r="14" spans="1:10" ht="12.75">
      <c r="A14" s="1284"/>
      <c r="B14" s="1284"/>
      <c r="C14" s="1284"/>
      <c r="D14" s="1284"/>
      <c r="E14" s="1284"/>
      <c r="F14" s="1284"/>
      <c r="G14" s="1284"/>
      <c r="H14" s="1284"/>
      <c r="I14" s="1284"/>
      <c r="J14" s="1284"/>
    </row>
    <row r="15" spans="1:10" ht="12.75">
      <c r="A15" s="1284"/>
      <c r="B15" s="1284"/>
      <c r="C15" s="1284"/>
      <c r="D15" s="1284"/>
      <c r="E15" s="1284"/>
      <c r="F15" s="1284"/>
      <c r="G15" s="1284"/>
      <c r="H15" s="1284"/>
      <c r="I15" s="1284"/>
      <c r="J15" s="1284"/>
    </row>
    <row r="16" spans="1:10" ht="12.75">
      <c r="A16" s="523"/>
      <c r="B16" s="523"/>
      <c r="C16" s="523"/>
      <c r="D16" s="523"/>
      <c r="E16" s="523"/>
      <c r="F16" s="523"/>
      <c r="G16" s="523"/>
      <c r="H16" s="523"/>
      <c r="I16" s="523"/>
      <c r="J16" s="523"/>
    </row>
    <row r="17" spans="1:10" ht="12.75">
      <c r="A17" s="475" t="s">
        <v>1874</v>
      </c>
      <c r="B17" s="415"/>
      <c r="C17" s="415"/>
      <c r="D17" s="415"/>
      <c r="E17" s="415"/>
      <c r="F17" s="415"/>
      <c r="G17" s="415"/>
      <c r="H17" s="415"/>
      <c r="I17" s="415"/>
      <c r="J17" s="415"/>
    </row>
    <row r="18" spans="1:10" ht="12.75">
      <c r="A18" s="415" t="s">
        <v>250</v>
      </c>
      <c r="B18" s="415"/>
      <c r="C18" s="415"/>
      <c r="D18" s="415"/>
      <c r="E18" s="415"/>
      <c r="F18" s="415"/>
      <c r="G18" s="415"/>
      <c r="H18" s="415"/>
      <c r="I18" s="415"/>
      <c r="J18" s="415"/>
    </row>
    <row r="19" spans="1:10" ht="12.75">
      <c r="A19" s="1283" t="s">
        <v>1190</v>
      </c>
      <c r="B19" s="1283"/>
      <c r="C19" s="1283"/>
      <c r="D19" s="1283"/>
      <c r="E19" s="1283"/>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80" t="s">
        <v>1191</v>
      </c>
      <c r="B56" s="1280"/>
      <c r="C56" s="1280"/>
      <c r="D56" s="1280"/>
      <c r="E56" s="1280"/>
      <c r="F56" s="1280"/>
      <c r="G56" s="1280"/>
      <c r="H56" s="1280"/>
      <c r="I56" s="1280"/>
      <c r="J56" s="1280"/>
    </row>
    <row r="57" spans="1:10" ht="12.75">
      <c r="A57" s="1280"/>
      <c r="B57" s="1280"/>
      <c r="C57" s="1280"/>
      <c r="D57" s="1280"/>
      <c r="E57" s="1280"/>
      <c r="F57" s="1280"/>
      <c r="G57" s="1280"/>
      <c r="H57" s="1280"/>
      <c r="I57" s="1280"/>
      <c r="J57" s="1280"/>
    </row>
    <row r="58" spans="1:10" ht="12.75">
      <c r="A58" s="1280"/>
      <c r="B58" s="1280"/>
      <c r="C58" s="1280"/>
      <c r="D58" s="1280"/>
      <c r="E58" s="1280"/>
      <c r="F58" s="1280"/>
      <c r="G58" s="1280"/>
      <c r="H58" s="1280"/>
      <c r="I58" s="1280"/>
      <c r="J58" s="1280"/>
    </row>
    <row r="59" spans="1:10" ht="12.75"/>
    <row r="60" spans="1:10" ht="12.75">
      <c r="A60" s="401"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81" t="s">
        <v>1871</v>
      </c>
      <c r="B71" s="1281"/>
      <c r="C71" s="1281"/>
      <c r="D71" s="1281"/>
      <c r="E71" s="1281"/>
      <c r="F71" s="1281"/>
      <c r="G71" s="1281"/>
      <c r="H71" s="1281"/>
      <c r="I71" s="1281"/>
    </row>
    <row r="72" spans="1:9" ht="12.75">
      <c r="A72" s="1273" t="s">
        <v>2046</v>
      </c>
      <c r="B72" s="1273"/>
      <c r="C72" s="1273"/>
      <c r="D72" s="1273"/>
      <c r="E72" s="1273"/>
    </row>
    <row r="73" spans="1:9" ht="12.75">
      <c r="A73" s="1273" t="s">
        <v>2047</v>
      </c>
      <c r="B73" s="1273"/>
      <c r="C73" s="1273"/>
      <c r="D73" s="1273"/>
      <c r="E73" s="1273"/>
    </row>
    <row r="74" spans="1:9" ht="12.75">
      <c r="A74" s="1273" t="s">
        <v>1872</v>
      </c>
      <c r="B74" s="1273"/>
      <c r="C74" s="1273"/>
      <c r="D74" s="1273"/>
      <c r="E74" s="1273"/>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115" zoomScaleNormal="115" workbookViewId="0">
      <selection activeCell="D177" sqref="D177:F180"/>
    </sheetView>
  </sheetViews>
  <sheetFormatPr defaultColWidth="0" defaultRowHeight="12.75" zeroHeight="1"/>
  <cols>
    <col min="1" max="1" width="3.42578125" style="479" customWidth="1"/>
    <col min="2" max="2" width="13.42578125" style="479" customWidth="1"/>
    <col min="3" max="3" width="2.42578125" style="479" customWidth="1"/>
    <col min="4" max="5" width="3.42578125" style="401" customWidth="1"/>
    <col min="6" max="6" width="65.42578125" style="401" customWidth="1"/>
    <col min="7" max="7" width="1.42578125" style="401" customWidth="1"/>
    <col min="8" max="8" width="3.42578125" style="401" customWidth="1"/>
    <col min="9" max="9" width="9.140625" style="403" customWidth="1"/>
    <col min="10" max="10" width="8.85546875" style="401" hidden="1" customWidth="1"/>
    <col min="11" max="16384" width="8.85546875" style="401" hidden="1"/>
  </cols>
  <sheetData>
    <row r="1" spans="1:13"/>
    <row r="2" spans="1:13">
      <c r="A2" s="1335" t="s">
        <v>2460</v>
      </c>
      <c r="B2" s="1335"/>
      <c r="C2" s="1335"/>
      <c r="D2" s="1335"/>
      <c r="E2" s="1335"/>
      <c r="F2" s="1335"/>
      <c r="G2" s="1335"/>
      <c r="H2" s="1335"/>
      <c r="I2" s="1335"/>
    </row>
    <row r="3" spans="1:13">
      <c r="A3" s="1323" t="s">
        <v>2220</v>
      </c>
      <c r="B3" s="1323"/>
      <c r="C3" s="1323"/>
      <c r="D3" s="1323"/>
      <c r="E3" s="1323"/>
      <c r="F3" s="1323"/>
      <c r="G3" s="1323"/>
      <c r="H3" s="1323"/>
      <c r="I3" s="1323"/>
    </row>
    <row r="4" spans="1:13">
      <c r="A4" s="1323"/>
      <c r="B4" s="1323"/>
      <c r="C4" s="1283"/>
      <c r="D4" s="1283"/>
      <c r="E4" s="1283"/>
      <c r="F4" s="1283"/>
      <c r="G4" s="1283"/>
    </row>
    <row r="5" spans="1:13">
      <c r="A5" s="1323"/>
      <c r="B5" s="1323"/>
      <c r="C5" s="1283"/>
      <c r="D5" s="1283"/>
      <c r="E5" s="1283"/>
      <c r="F5" s="1283"/>
      <c r="G5" s="1283"/>
    </row>
    <row r="6" spans="1:13" ht="12.75" customHeight="1">
      <c r="A6" s="1326" t="s">
        <v>2219</v>
      </c>
      <c r="B6" s="1326"/>
      <c r="C6" s="1326"/>
      <c r="D6" s="1326"/>
      <c r="E6" s="1326"/>
      <c r="F6" s="1326"/>
      <c r="G6" s="1326"/>
      <c r="I6" s="489"/>
    </row>
    <row r="7" spans="1:13">
      <c r="A7" s="1326"/>
      <c r="B7" s="1326"/>
      <c r="C7" s="1326"/>
      <c r="D7" s="1326"/>
      <c r="E7" s="1326"/>
      <c r="F7" s="1326"/>
      <c r="G7" s="1326"/>
      <c r="I7" s="489"/>
    </row>
    <row r="8" spans="1:13">
      <c r="A8" s="480"/>
      <c r="B8" s="480"/>
      <c r="C8" s="481"/>
      <c r="D8" s="481"/>
      <c r="E8" s="481"/>
      <c r="F8" s="481"/>
    </row>
    <row r="9" spans="1:13">
      <c r="A9" s="1312" t="s">
        <v>1102</v>
      </c>
      <c r="B9" s="1312"/>
      <c r="C9" s="1312"/>
      <c r="D9" s="1312"/>
      <c r="E9" s="1312"/>
      <c r="F9" s="1312"/>
      <c r="G9" s="1312"/>
      <c r="H9" s="1027"/>
      <c r="I9" s="1028"/>
    </row>
    <row r="10" spans="1:13">
      <c r="A10" s="481"/>
      <c r="B10" s="481"/>
      <c r="E10" s="403"/>
    </row>
    <row r="11" spans="1:13" ht="13.7" customHeight="1">
      <c r="C11" s="481"/>
      <c r="D11" s="1325" t="s">
        <v>1101</v>
      </c>
      <c r="E11" s="1325"/>
      <c r="F11" s="1325"/>
    </row>
    <row r="12" spans="1:13">
      <c r="C12" s="481"/>
      <c r="D12" s="1325"/>
      <c r="E12" s="1325"/>
      <c r="F12" s="1325"/>
    </row>
    <row r="13" spans="1:13">
      <c r="A13" s="482"/>
      <c r="B13" s="482"/>
      <c r="C13" s="482"/>
      <c r="D13" s="1303" t="s">
        <v>1091</v>
      </c>
      <c r="E13" s="1303"/>
      <c r="F13" s="1303"/>
      <c r="M13" s="96"/>
    </row>
    <row r="14" spans="1:13">
      <c r="A14" s="482"/>
      <c r="B14" s="482"/>
      <c r="C14" s="482"/>
      <c r="D14" s="475"/>
      <c r="L14" s="311"/>
    </row>
    <row r="15" spans="1:13" ht="14.25">
      <c r="A15" s="483"/>
      <c r="B15" s="484" t="s">
        <v>2744</v>
      </c>
      <c r="C15" s="482"/>
      <c r="D15" s="1305" t="s">
        <v>1923</v>
      </c>
      <c r="E15" s="1305"/>
      <c r="F15" s="1305"/>
      <c r="I15" s="489"/>
    </row>
    <row r="16" spans="1:13">
      <c r="A16" s="482"/>
      <c r="B16" s="482"/>
      <c r="C16" s="482"/>
      <c r="D16" s="1305"/>
      <c r="E16" s="1305"/>
      <c r="F16" s="1305"/>
      <c r="I16" s="489"/>
    </row>
    <row r="17" spans="1:9">
      <c r="A17" s="482"/>
      <c r="B17" s="482"/>
      <c r="C17" s="482"/>
      <c r="D17" s="1305"/>
      <c r="E17" s="1305"/>
      <c r="F17" s="1305"/>
      <c r="I17" s="489"/>
    </row>
    <row r="18" spans="1:9">
      <c r="A18" s="482"/>
      <c r="B18" s="482"/>
      <c r="C18" s="482"/>
      <c r="D18" s="444"/>
      <c r="E18" s="311" t="s">
        <v>1921</v>
      </c>
      <c r="F18" s="444"/>
      <c r="I18" s="489"/>
    </row>
    <row r="19" spans="1:9">
      <c r="A19" s="482"/>
      <c r="B19" s="482"/>
      <c r="C19" s="482"/>
      <c r="I19" s="489"/>
    </row>
    <row r="20" spans="1:9" ht="14.25">
      <c r="A20" s="483"/>
      <c r="B20" s="484" t="s">
        <v>2744</v>
      </c>
      <c r="D20" s="1305" t="s">
        <v>1924</v>
      </c>
      <c r="E20" s="1305"/>
      <c r="F20" s="1305"/>
      <c r="I20" s="489"/>
    </row>
    <row r="21" spans="1:9" ht="14.25">
      <c r="A21" s="483"/>
      <c r="D21" s="1305"/>
      <c r="E21" s="1305"/>
      <c r="F21" s="1305"/>
      <c r="I21" s="489"/>
    </row>
    <row r="22" spans="1:9" ht="14.25">
      <c r="A22" s="483"/>
      <c r="D22" s="391"/>
      <c r="E22" s="96" t="s">
        <v>1920</v>
      </c>
      <c r="F22" s="391"/>
      <c r="I22" s="489"/>
    </row>
    <row r="23" spans="1:9" ht="14.25">
      <c r="A23" s="483"/>
      <c r="B23" s="483"/>
      <c r="D23" s="445"/>
      <c r="I23" s="489"/>
    </row>
    <row r="24" spans="1:9" ht="14.25">
      <c r="A24" s="483"/>
      <c r="B24" s="484" t="s">
        <v>2671</v>
      </c>
      <c r="D24" s="1305" t="s">
        <v>1092</v>
      </c>
      <c r="E24" s="1305"/>
      <c r="F24" s="1305"/>
      <c r="I24" s="489"/>
    </row>
    <row r="25" spans="1:9" ht="14.25">
      <c r="A25" s="483"/>
      <c r="B25" s="483"/>
      <c r="D25" s="1305"/>
      <c r="E25" s="1305"/>
      <c r="F25" s="1305"/>
      <c r="I25" s="489"/>
    </row>
    <row r="26" spans="1:9">
      <c r="I26" s="489"/>
    </row>
    <row r="27" spans="1:9" ht="14.25">
      <c r="A27" s="483"/>
      <c r="B27" s="484" t="s">
        <v>2744</v>
      </c>
      <c r="D27" s="1305" t="s">
        <v>2049</v>
      </c>
      <c r="E27" s="1305"/>
      <c r="F27" s="1305"/>
      <c r="I27" s="489"/>
    </row>
    <row r="28" spans="1:9">
      <c r="D28" s="1305"/>
      <c r="E28" s="1305"/>
      <c r="F28" s="1305"/>
      <c r="I28" s="489"/>
    </row>
    <row r="29" spans="1:9">
      <c r="D29" s="1305"/>
      <c r="E29" s="1305"/>
      <c r="F29" s="1305"/>
      <c r="I29" s="489"/>
    </row>
    <row r="30" spans="1:9">
      <c r="D30" s="1305"/>
      <c r="E30" s="1305"/>
      <c r="F30" s="1305"/>
      <c r="I30" s="489"/>
    </row>
    <row r="31" spans="1:9">
      <c r="D31" s="1305"/>
      <c r="E31" s="1305"/>
      <c r="F31" s="1305"/>
      <c r="I31" s="489"/>
    </row>
    <row r="32" spans="1:9">
      <c r="D32" s="446"/>
      <c r="I32" s="489"/>
    </row>
    <row r="33" spans="1:9">
      <c r="B33" s="484" t="s">
        <v>2671</v>
      </c>
      <c r="D33" s="1305" t="s">
        <v>2050</v>
      </c>
      <c r="E33" s="1305"/>
      <c r="F33" s="1305"/>
      <c r="I33" s="489"/>
    </row>
    <row r="34" spans="1:9">
      <c r="D34" s="1305"/>
      <c r="E34" s="1305"/>
      <c r="F34" s="1305"/>
      <c r="I34" s="489"/>
    </row>
    <row r="35" spans="1:9" ht="14.25">
      <c r="A35" s="483"/>
      <c r="B35" s="483"/>
      <c r="D35" s="446"/>
      <c r="I35" s="489"/>
    </row>
    <row r="36" spans="1:9" ht="14.45" customHeight="1">
      <c r="A36" s="483"/>
      <c r="B36" s="484" t="s">
        <v>2671</v>
      </c>
      <c r="D36" s="1305" t="s">
        <v>1215</v>
      </c>
      <c r="E36" s="1305"/>
      <c r="F36" s="1305"/>
      <c r="I36" s="489"/>
    </row>
    <row r="37" spans="1:9" ht="14.25">
      <c r="A37" s="483"/>
      <c r="B37" s="483"/>
      <c r="D37" s="1305"/>
      <c r="E37" s="1305"/>
      <c r="F37" s="1305"/>
      <c r="I37" s="489"/>
    </row>
    <row r="38" spans="1:9" ht="14.25">
      <c r="A38" s="483"/>
      <c r="B38" s="483"/>
      <c r="D38" s="1305"/>
      <c r="E38" s="1305"/>
      <c r="F38" s="1305"/>
      <c r="I38" s="489"/>
    </row>
    <row r="39" spans="1:9" ht="14.25">
      <c r="A39" s="483"/>
      <c r="B39" s="483"/>
      <c r="D39" s="1305"/>
      <c r="E39" s="1305"/>
      <c r="F39" s="1305"/>
      <c r="I39" s="489"/>
    </row>
    <row r="40" spans="1:9" ht="14.25">
      <c r="A40" s="483"/>
      <c r="B40" s="483"/>
      <c r="I40" s="489"/>
    </row>
    <row r="41" spans="1:9" ht="14.25">
      <c r="A41" s="483"/>
      <c r="B41" s="484" t="s">
        <v>2671</v>
      </c>
      <c r="D41" s="1305" t="s">
        <v>1093</v>
      </c>
      <c r="E41" s="1305"/>
      <c r="F41" s="1305"/>
      <c r="I41" s="489"/>
    </row>
    <row r="42" spans="1:9" ht="14.25">
      <c r="A42" s="483"/>
      <c r="B42" s="483"/>
      <c r="D42" s="1305"/>
      <c r="E42" s="1305"/>
      <c r="F42" s="1305"/>
      <c r="I42" s="489"/>
    </row>
    <row r="43" spans="1:9" ht="14.25">
      <c r="A43" s="483"/>
      <c r="B43" s="483"/>
      <c r="D43" s="1305"/>
      <c r="E43" s="1305"/>
      <c r="F43" s="1305"/>
      <c r="I43" s="489"/>
    </row>
    <row r="44" spans="1:9" ht="14.25">
      <c r="A44" s="483"/>
      <c r="B44" s="483"/>
      <c r="D44" s="1305"/>
      <c r="E44" s="1305"/>
      <c r="F44" s="1305"/>
      <c r="I44" s="489"/>
    </row>
    <row r="45" spans="1:9" ht="14.25">
      <c r="A45" s="483"/>
      <c r="B45" s="483"/>
      <c r="D45" s="1305"/>
      <c r="E45" s="1305"/>
      <c r="F45" s="1305"/>
      <c r="I45" s="489"/>
    </row>
    <row r="46" spans="1:9" ht="14.25">
      <c r="A46" s="483"/>
      <c r="B46" s="483"/>
      <c r="D46" s="444"/>
      <c r="E46" s="444"/>
      <c r="F46" s="444"/>
      <c r="I46" s="489"/>
    </row>
    <row r="47" spans="1:9" ht="14.25">
      <c r="A47" s="483"/>
      <c r="B47" s="484" t="s">
        <v>2671</v>
      </c>
      <c r="D47" s="1305" t="s">
        <v>1094</v>
      </c>
      <c r="E47" s="1305"/>
      <c r="F47" s="1305"/>
      <c r="I47" s="489"/>
    </row>
    <row r="48" spans="1:9" ht="14.25">
      <c r="A48" s="483"/>
      <c r="B48" s="483"/>
      <c r="D48" s="1305"/>
      <c r="E48" s="1305"/>
      <c r="F48" s="1305"/>
      <c r="I48" s="489"/>
    </row>
    <row r="49" spans="1:9" ht="14.25">
      <c r="A49" s="483"/>
      <c r="B49" s="483"/>
      <c r="D49" s="1305"/>
      <c r="E49" s="1305"/>
      <c r="F49" s="1305"/>
      <c r="I49" s="489"/>
    </row>
    <row r="50" spans="1:9" ht="23.25" customHeight="1">
      <c r="A50" s="483"/>
      <c r="B50" s="483"/>
      <c r="D50" s="1305"/>
      <c r="E50" s="1305"/>
      <c r="F50" s="1305"/>
      <c r="I50" s="489"/>
    </row>
    <row r="51" spans="1:9" ht="14.25">
      <c r="A51" s="483"/>
      <c r="B51" s="483"/>
      <c r="D51" s="445"/>
      <c r="I51" s="489"/>
    </row>
    <row r="52" spans="1:9" ht="14.45" customHeight="1">
      <c r="A52" s="483"/>
      <c r="B52" s="484" t="s">
        <v>2671</v>
      </c>
      <c r="D52" s="1305" t="s">
        <v>1095</v>
      </c>
      <c r="E52" s="1305"/>
      <c r="F52" s="1305"/>
      <c r="I52" s="489"/>
    </row>
    <row r="53" spans="1:9" ht="14.25">
      <c r="A53" s="483"/>
      <c r="B53" s="483"/>
      <c r="D53" s="1305"/>
      <c r="E53" s="1305"/>
      <c r="F53" s="1305"/>
      <c r="I53" s="489"/>
    </row>
    <row r="54" spans="1:9" ht="14.25">
      <c r="A54" s="483"/>
      <c r="B54" s="483"/>
      <c r="D54" s="1305"/>
      <c r="E54" s="1305"/>
      <c r="F54" s="1305"/>
      <c r="I54" s="489"/>
    </row>
    <row r="55" spans="1:9" ht="14.25">
      <c r="A55" s="483"/>
      <c r="B55" s="483"/>
      <c r="I55" s="489"/>
    </row>
    <row r="56" spans="1:9" ht="14.25">
      <c r="A56" s="483"/>
      <c r="B56" s="484" t="s">
        <v>2744</v>
      </c>
      <c r="D56" s="1328" t="s">
        <v>1096</v>
      </c>
      <c r="E56" s="1328"/>
      <c r="F56" s="1328"/>
      <c r="I56" s="489"/>
    </row>
    <row r="57" spans="1:9" ht="14.25">
      <c r="A57" s="483"/>
      <c r="B57" s="483"/>
      <c r="D57" s="1328"/>
      <c r="E57" s="1328"/>
      <c r="F57" s="1328"/>
      <c r="I57" s="489"/>
    </row>
    <row r="58" spans="1:9" ht="14.25">
      <c r="A58" s="483"/>
      <c r="B58" s="483"/>
      <c r="D58" s="391" t="s">
        <v>1922</v>
      </c>
      <c r="E58" s="444"/>
      <c r="F58" s="444"/>
      <c r="I58" s="489"/>
    </row>
    <row r="59" spans="1:9" ht="14.25">
      <c r="A59" s="483"/>
      <c r="B59" s="483"/>
      <c r="D59" s="444"/>
      <c r="E59" s="311" t="s">
        <v>1921</v>
      </c>
      <c r="F59" s="444"/>
      <c r="I59" s="489"/>
    </row>
    <row r="60" spans="1:9">
      <c r="D60" s="446"/>
      <c r="I60" s="489"/>
    </row>
    <row r="61" spans="1:9" ht="14.25">
      <c r="A61" s="483"/>
      <c r="B61" s="484" t="s">
        <v>2744</v>
      </c>
      <c r="D61" s="1305" t="s">
        <v>1097</v>
      </c>
      <c r="E61" s="1305"/>
      <c r="F61" s="1305"/>
      <c r="I61" s="489"/>
    </row>
    <row r="62" spans="1:9">
      <c r="D62" s="1305"/>
      <c r="E62" s="1305"/>
      <c r="F62" s="1305"/>
      <c r="I62" s="489"/>
    </row>
    <row r="63" spans="1:9">
      <c r="D63" s="1305"/>
      <c r="E63" s="1305"/>
      <c r="F63" s="1305"/>
      <c r="I63" s="489"/>
    </row>
    <row r="64" spans="1:9">
      <c r="I64" s="489"/>
    </row>
    <row r="65" spans="1:9" ht="14.25">
      <c r="A65" s="483"/>
      <c r="B65" s="484" t="s">
        <v>2671</v>
      </c>
      <c r="D65" s="1305" t="s">
        <v>1098</v>
      </c>
      <c r="E65" s="1305"/>
      <c r="F65" s="1305"/>
      <c r="I65" s="489"/>
    </row>
    <row r="66" spans="1:9">
      <c r="D66" s="1305"/>
      <c r="E66" s="1305"/>
      <c r="F66" s="1305"/>
      <c r="I66" s="489"/>
    </row>
    <row r="67" spans="1:9">
      <c r="I67" s="489"/>
    </row>
    <row r="68" spans="1:9" ht="14.25">
      <c r="A68" s="483"/>
      <c r="B68" s="484" t="s">
        <v>2671</v>
      </c>
      <c r="D68" s="1305" t="s">
        <v>1099</v>
      </c>
      <c r="E68" s="1305"/>
      <c r="F68" s="1305"/>
      <c r="I68" s="489"/>
    </row>
    <row r="69" spans="1:9">
      <c r="D69" s="1305"/>
      <c r="E69" s="1305"/>
      <c r="F69" s="1305"/>
      <c r="I69" s="489"/>
    </row>
    <row r="70" spans="1:9">
      <c r="D70" s="1305"/>
      <c r="E70" s="1305"/>
      <c r="F70" s="1305"/>
      <c r="I70" s="489"/>
    </row>
    <row r="71" spans="1:9">
      <c r="I71" s="489"/>
    </row>
    <row r="72" spans="1:9" ht="14.25">
      <c r="A72" s="483"/>
      <c r="B72" s="484" t="s">
        <v>2671</v>
      </c>
      <c r="D72" s="1305" t="s">
        <v>1100</v>
      </c>
      <c r="E72" s="1305"/>
      <c r="F72" s="1305"/>
      <c r="I72" s="489"/>
    </row>
    <row r="73" spans="1:9">
      <c r="D73" s="1305"/>
      <c r="E73" s="1305"/>
      <c r="F73" s="1305"/>
      <c r="I73" s="489"/>
    </row>
    <row r="74" spans="1:9" ht="14.25">
      <c r="A74" s="483"/>
      <c r="B74" s="483"/>
      <c r="D74" s="445"/>
      <c r="I74" s="489"/>
    </row>
    <row r="75" spans="1:9">
      <c r="A75" s="1312" t="s">
        <v>1045</v>
      </c>
      <c r="B75" s="1312"/>
      <c r="C75" s="1312"/>
      <c r="D75" s="1312"/>
      <c r="E75" s="1312"/>
      <c r="F75" s="1312"/>
      <c r="G75" s="1312"/>
      <c r="H75" s="1027"/>
      <c r="I75" s="1152"/>
    </row>
    <row r="76" spans="1:9">
      <c r="I76" s="489"/>
    </row>
    <row r="77" spans="1:9">
      <c r="C77" s="485"/>
      <c r="D77" s="1321" t="s">
        <v>1103</v>
      </c>
      <c r="E77" s="1321"/>
      <c r="F77" s="1321"/>
      <c r="I77" s="489"/>
    </row>
    <row r="78" spans="1:9">
      <c r="A78" s="445"/>
      <c r="B78" s="445"/>
      <c r="D78" s="1305" t="s">
        <v>1118</v>
      </c>
      <c r="E78" s="1305"/>
      <c r="F78" s="1305"/>
      <c r="I78" s="489"/>
    </row>
    <row r="79" spans="1:9">
      <c r="A79" s="445"/>
      <c r="B79" s="445"/>
      <c r="I79" s="489"/>
    </row>
    <row r="80" spans="1:9" ht="13.7" customHeight="1">
      <c r="A80" s="483"/>
      <c r="B80" s="484" t="s">
        <v>2744</v>
      </c>
      <c r="D80" s="1305" t="s">
        <v>1246</v>
      </c>
      <c r="E80" s="1305"/>
      <c r="F80" s="1305"/>
      <c r="I80" s="489"/>
    </row>
    <row r="81" spans="1:9" ht="14.25">
      <c r="A81" s="483"/>
      <c r="B81" s="483"/>
      <c r="D81" s="1305"/>
      <c r="E81" s="1305"/>
      <c r="F81" s="1305"/>
      <c r="I81" s="489"/>
    </row>
    <row r="82" spans="1:9" ht="14.25">
      <c r="A82" s="483"/>
      <c r="B82" s="483"/>
      <c r="D82" s="1305"/>
      <c r="E82" s="1305"/>
      <c r="F82" s="1305"/>
      <c r="I82" s="489"/>
    </row>
    <row r="83" spans="1:9" ht="14.25">
      <c r="A83" s="483"/>
      <c r="B83" s="483"/>
      <c r="D83" s="1305"/>
      <c r="E83" s="1305"/>
      <c r="F83" s="1305"/>
      <c r="I83" s="489"/>
    </row>
    <row r="84" spans="1:9" ht="14.25">
      <c r="A84" s="483"/>
      <c r="B84" s="483"/>
      <c r="D84" s="1305"/>
      <c r="E84" s="1305"/>
      <c r="F84" s="1305"/>
      <c r="I84" s="489"/>
    </row>
    <row r="85" spans="1:9" ht="14.25">
      <c r="A85" s="483"/>
      <c r="B85" s="483"/>
      <c r="D85" s="1305"/>
      <c r="E85" s="1305"/>
      <c r="F85" s="1305"/>
      <c r="I85" s="489"/>
    </row>
    <row r="86" spans="1:9" ht="14.25">
      <c r="A86" s="483"/>
      <c r="B86" s="483"/>
      <c r="D86" s="1305"/>
      <c r="E86" s="1305"/>
      <c r="F86" s="1305"/>
      <c r="I86" s="489"/>
    </row>
    <row r="87" spans="1:9" ht="14.25">
      <c r="A87" s="483"/>
      <c r="B87" s="483"/>
      <c r="D87" s="1305"/>
      <c r="E87" s="1305"/>
      <c r="F87" s="1305"/>
      <c r="I87" s="489"/>
    </row>
    <row r="88" spans="1:9" ht="14.25">
      <c r="A88" s="483"/>
      <c r="B88" s="483"/>
      <c r="D88" s="384"/>
      <c r="E88" s="384"/>
      <c r="F88" s="384"/>
      <c r="I88" s="489"/>
    </row>
    <row r="89" spans="1:9" ht="15" customHeight="1">
      <c r="A89" s="483"/>
      <c r="B89" s="484" t="s">
        <v>2744</v>
      </c>
      <c r="D89" s="1305" t="s">
        <v>1743</v>
      </c>
      <c r="E89" s="1305"/>
      <c r="F89" s="1305"/>
      <c r="I89" s="489"/>
    </row>
    <row r="90" spans="1:9" ht="14.25">
      <c r="A90" s="483"/>
      <c r="B90" s="483"/>
      <c r="D90" s="1305"/>
      <c r="E90" s="1305"/>
      <c r="F90" s="1305"/>
      <c r="I90" s="489"/>
    </row>
    <row r="91" spans="1:9" ht="14.25">
      <c r="A91" s="483"/>
      <c r="B91" s="483"/>
      <c r="D91" s="444"/>
      <c r="E91" s="444"/>
      <c r="F91" s="444"/>
      <c r="I91" s="489"/>
    </row>
    <row r="92" spans="1:9" ht="14.25">
      <c r="A92" s="483"/>
      <c r="B92" s="484" t="s">
        <v>307</v>
      </c>
      <c r="D92" s="1305" t="s">
        <v>1746</v>
      </c>
      <c r="E92" s="1305"/>
      <c r="F92" s="1305"/>
      <c r="I92" s="489"/>
    </row>
    <row r="93" spans="1:9" ht="14.25">
      <c r="A93" s="483"/>
      <c r="B93" s="483"/>
      <c r="D93" s="1305"/>
      <c r="E93" s="1305"/>
      <c r="F93" s="1305"/>
      <c r="I93" s="489"/>
    </row>
    <row r="94" spans="1:9" ht="14.25">
      <c r="A94" s="483"/>
      <c r="B94" s="483"/>
      <c r="D94" s="1305"/>
      <c r="E94" s="1305"/>
      <c r="F94" s="1305"/>
      <c r="I94" s="489"/>
    </row>
    <row r="95" spans="1:9" ht="14.25">
      <c r="A95" s="483"/>
      <c r="B95" s="483"/>
      <c r="D95" s="444"/>
      <c r="E95" s="444"/>
      <c r="F95" s="444"/>
      <c r="I95" s="489"/>
    </row>
    <row r="96" spans="1:9" ht="14.25">
      <c r="A96" s="483"/>
      <c r="B96" s="484" t="s">
        <v>2744</v>
      </c>
      <c r="D96" s="1305" t="s">
        <v>1745</v>
      </c>
      <c r="E96" s="1305"/>
      <c r="F96" s="1305"/>
      <c r="I96" s="489"/>
    </row>
    <row r="97" spans="1:9" s="986" customFormat="1" ht="14.25">
      <c r="A97" s="984"/>
      <c r="B97" s="984"/>
      <c r="C97" s="985"/>
      <c r="D97" s="1305"/>
      <c r="E97" s="1305"/>
      <c r="F97" s="1305"/>
      <c r="I97" s="1153"/>
    </row>
    <row r="98" spans="1:9" ht="14.25">
      <c r="A98" s="483"/>
      <c r="B98" s="483"/>
      <c r="D98" s="391"/>
      <c r="E98" s="311" t="s">
        <v>1925</v>
      </c>
      <c r="F98" s="444"/>
      <c r="I98" s="489"/>
    </row>
    <row r="99" spans="1:9" ht="14.25">
      <c r="A99" s="483"/>
      <c r="B99" s="483"/>
      <c r="D99" s="384"/>
      <c r="E99" s="384"/>
      <c r="F99" s="384"/>
      <c r="I99" s="489"/>
    </row>
    <row r="100" spans="1:9" ht="14.25">
      <c r="A100" s="483"/>
      <c r="B100" s="484" t="s">
        <v>2671</v>
      </c>
      <c r="D100" s="1305" t="s">
        <v>1744</v>
      </c>
      <c r="E100" s="1305"/>
      <c r="F100" s="1305"/>
      <c r="I100" s="489"/>
    </row>
    <row r="101" spans="1:9" ht="14.25">
      <c r="A101" s="483"/>
      <c r="B101" s="483"/>
      <c r="D101" s="1305"/>
      <c r="E101" s="1305"/>
      <c r="F101" s="1305"/>
      <c r="I101" s="489"/>
    </row>
    <row r="102" spans="1:9" ht="14.25">
      <c r="A102" s="483"/>
      <c r="B102" s="483"/>
      <c r="D102" s="444"/>
      <c r="E102" s="444"/>
      <c r="F102" s="444"/>
      <c r="I102" s="489"/>
    </row>
    <row r="103" spans="1:9" ht="14.45" customHeight="1">
      <c r="A103" s="483"/>
      <c r="B103" s="484" t="s">
        <v>2671</v>
      </c>
      <c r="D103" s="1305" t="s">
        <v>1195</v>
      </c>
      <c r="E103" s="1305"/>
      <c r="F103" s="1305"/>
      <c r="I103" s="489"/>
    </row>
    <row r="104" spans="1:9" ht="14.25">
      <c r="A104" s="483"/>
      <c r="B104" s="483"/>
      <c r="D104" s="1305"/>
      <c r="E104" s="1305"/>
      <c r="F104" s="1305"/>
      <c r="I104" s="489"/>
    </row>
    <row r="105" spans="1:9" ht="14.25">
      <c r="A105" s="483"/>
      <c r="B105" s="483"/>
      <c r="D105" s="1305"/>
      <c r="E105" s="1305"/>
      <c r="F105" s="1305"/>
      <c r="I105" s="489"/>
    </row>
    <row r="106" spans="1:9" ht="14.25">
      <c r="A106" s="483"/>
      <c r="B106" s="483"/>
      <c r="D106" s="1305"/>
      <c r="E106" s="1305"/>
      <c r="F106" s="1305"/>
      <c r="I106" s="489"/>
    </row>
    <row r="107" spans="1:9" ht="14.25">
      <c r="A107" s="483"/>
      <c r="B107" s="483"/>
      <c r="D107" s="1305"/>
      <c r="E107" s="1305"/>
      <c r="F107" s="1305"/>
      <c r="I107" s="489"/>
    </row>
    <row r="108" spans="1:9" ht="14.25">
      <c r="A108" s="483"/>
      <c r="B108" s="483"/>
      <c r="D108" s="1305"/>
      <c r="E108" s="1305"/>
      <c r="F108" s="1305"/>
      <c r="I108" s="489"/>
    </row>
    <row r="109" spans="1:9" ht="14.25">
      <c r="A109" s="483"/>
      <c r="B109" s="483"/>
      <c r="D109" s="1305"/>
      <c r="E109" s="1305"/>
      <c r="F109" s="1305"/>
      <c r="I109" s="489"/>
    </row>
    <row r="110" spans="1:9" ht="14.25">
      <c r="A110" s="483"/>
      <c r="B110" s="483"/>
      <c r="D110" s="1305"/>
      <c r="E110" s="1305"/>
      <c r="F110" s="1305"/>
      <c r="I110" s="489"/>
    </row>
    <row r="111" spans="1:9" ht="14.25">
      <c r="A111" s="483"/>
      <c r="B111" s="483"/>
      <c r="D111" s="1305"/>
      <c r="E111" s="1305"/>
      <c r="F111" s="1305"/>
      <c r="I111" s="489"/>
    </row>
    <row r="112" spans="1:9" ht="14.25">
      <c r="A112" s="483"/>
      <c r="B112" s="483"/>
      <c r="D112" s="1305"/>
      <c r="E112" s="1305"/>
      <c r="F112" s="1305"/>
      <c r="I112" s="489"/>
    </row>
    <row r="113" spans="1:9" ht="14.25">
      <c r="A113" s="483"/>
      <c r="B113" s="483"/>
      <c r="D113" s="1305"/>
      <c r="E113" s="1305"/>
      <c r="F113" s="1305"/>
      <c r="I113" s="489"/>
    </row>
    <row r="114" spans="1:9" ht="14.25">
      <c r="A114" s="483"/>
      <c r="B114" s="483"/>
      <c r="D114" s="1305"/>
      <c r="E114" s="1305"/>
      <c r="F114" s="1305"/>
      <c r="I114" s="489"/>
    </row>
    <row r="115" spans="1:9" ht="14.25">
      <c r="A115" s="483"/>
      <c r="B115" s="483"/>
      <c r="D115" s="1305"/>
      <c r="E115" s="1305"/>
      <c r="F115" s="1305"/>
      <c r="I115" s="489"/>
    </row>
    <row r="116" spans="1:9" ht="14.25">
      <c r="A116" s="483"/>
      <c r="B116" s="483"/>
      <c r="D116" s="1305"/>
      <c r="E116" s="1305"/>
      <c r="F116" s="1305"/>
      <c r="I116" s="489"/>
    </row>
    <row r="117" spans="1:9" ht="14.25">
      <c r="A117" s="483"/>
      <c r="B117" s="483"/>
      <c r="D117" s="1305"/>
      <c r="E117" s="1305"/>
      <c r="F117" s="1305"/>
      <c r="I117" s="489"/>
    </row>
    <row r="118" spans="1:9" ht="14.25">
      <c r="A118" s="483"/>
      <c r="B118" s="483"/>
      <c r="D118" s="523"/>
      <c r="E118" s="523"/>
      <c r="F118" s="523"/>
      <c r="I118" s="489"/>
    </row>
    <row r="119" spans="1:9" ht="14.25" customHeight="1">
      <c r="A119" s="483"/>
      <c r="B119" s="484" t="s">
        <v>2671</v>
      </c>
      <c r="D119" s="1327" t="s">
        <v>1104</v>
      </c>
      <c r="E119" s="1327"/>
      <c r="F119" s="1327"/>
      <c r="I119" s="489"/>
    </row>
    <row r="120" spans="1:9" ht="14.25">
      <c r="A120" s="483"/>
      <c r="B120" s="483"/>
      <c r="D120" s="1327"/>
      <c r="E120" s="1327"/>
      <c r="F120" s="1327"/>
      <c r="I120" s="489"/>
    </row>
    <row r="121" spans="1:9" ht="14.25">
      <c r="A121" s="483"/>
      <c r="B121" s="483"/>
      <c r="D121" s="1327"/>
      <c r="E121" s="1327"/>
      <c r="F121" s="1327"/>
      <c r="I121" s="489"/>
    </row>
    <row r="122" spans="1:9" ht="14.25">
      <c r="A122" s="483"/>
      <c r="B122" s="483"/>
      <c r="D122" s="1327"/>
      <c r="E122" s="1327"/>
      <c r="F122" s="1327"/>
      <c r="I122" s="489"/>
    </row>
    <row r="123" spans="1:9" ht="14.25">
      <c r="A123" s="483"/>
      <c r="B123" s="483"/>
      <c r="D123" s="1327"/>
      <c r="E123" s="1327"/>
      <c r="F123" s="1327"/>
      <c r="I123" s="489"/>
    </row>
    <row r="124" spans="1:9" ht="14.25">
      <c r="A124" s="483"/>
      <c r="B124" s="483"/>
      <c r="D124" s="1327"/>
      <c r="E124" s="1327"/>
      <c r="F124" s="1327"/>
      <c r="I124" s="489"/>
    </row>
    <row r="125" spans="1:9" ht="14.25">
      <c r="A125" s="483"/>
      <c r="B125" s="483"/>
      <c r="D125" s="1327"/>
      <c r="E125" s="1327"/>
      <c r="F125" s="1327"/>
      <c r="I125" s="489"/>
    </row>
    <row r="126" spans="1:9" ht="14.25">
      <c r="A126" s="483"/>
      <c r="B126" s="483"/>
      <c r="D126" s="1327"/>
      <c r="E126" s="1327"/>
      <c r="F126" s="1327"/>
      <c r="I126" s="489"/>
    </row>
    <row r="127" spans="1:9">
      <c r="C127" s="401"/>
      <c r="D127" s="524"/>
      <c r="E127" s="524"/>
      <c r="F127" s="524"/>
      <c r="I127" s="489"/>
    </row>
    <row r="128" spans="1:9" ht="14.25">
      <c r="A128" s="483"/>
      <c r="B128" s="484" t="s">
        <v>2744</v>
      </c>
      <c r="C128" s="401"/>
      <c r="D128" s="1327" t="s">
        <v>2051</v>
      </c>
      <c r="E128" s="1327"/>
      <c r="F128" s="1327"/>
      <c r="I128" s="489"/>
    </row>
    <row r="129" spans="1:9" ht="14.25">
      <c r="A129" s="483"/>
      <c r="B129" s="483"/>
      <c r="C129" s="401"/>
      <c r="D129" s="1327"/>
      <c r="E129" s="1327"/>
      <c r="F129" s="1327"/>
      <c r="I129" s="489"/>
    </row>
    <row r="130" spans="1:9">
      <c r="I130" s="489"/>
    </row>
    <row r="131" spans="1:9" ht="14.25">
      <c r="A131" s="483"/>
      <c r="B131" s="484" t="s">
        <v>2744</v>
      </c>
      <c r="D131" s="1305" t="s">
        <v>1105</v>
      </c>
      <c r="E131" s="1305"/>
      <c r="F131" s="1305"/>
      <c r="I131" s="489"/>
    </row>
    <row r="132" spans="1:9">
      <c r="D132" s="1305"/>
      <c r="E132" s="1305"/>
      <c r="F132" s="1305"/>
      <c r="I132" s="489"/>
    </row>
    <row r="133" spans="1:9">
      <c r="D133" s="1305"/>
      <c r="E133" s="1305"/>
      <c r="F133" s="1305"/>
      <c r="I133" s="489"/>
    </row>
    <row r="134" spans="1:9">
      <c r="D134" s="1305"/>
      <c r="E134" s="1305"/>
      <c r="F134" s="1305"/>
      <c r="I134" s="489"/>
    </row>
    <row r="135" spans="1:9">
      <c r="D135" s="1305"/>
      <c r="E135" s="1305"/>
      <c r="F135" s="1305"/>
      <c r="I135" s="489"/>
    </row>
    <row r="136" spans="1:9">
      <c r="I136" s="489"/>
    </row>
    <row r="137" spans="1:9" ht="14.25">
      <c r="A137" s="483"/>
      <c r="B137" s="484" t="s">
        <v>2744</v>
      </c>
      <c r="D137" s="1305" t="s">
        <v>1106</v>
      </c>
      <c r="E137" s="1305"/>
      <c r="F137" s="1305"/>
      <c r="I137" s="489"/>
    </row>
    <row r="138" spans="1:9" s="416" customFormat="1" ht="13.7" customHeight="1">
      <c r="A138" s="487"/>
      <c r="B138" s="487"/>
      <c r="C138" s="487"/>
      <c r="D138" s="1305"/>
      <c r="E138" s="1305"/>
      <c r="F138" s="1305"/>
      <c r="I138" s="1154"/>
    </row>
    <row r="139" spans="1:9" ht="13.7" customHeight="1">
      <c r="D139" s="1305"/>
      <c r="E139" s="1305"/>
      <c r="F139" s="1305"/>
      <c r="I139" s="489"/>
    </row>
    <row r="140" spans="1:9" ht="13.7" customHeight="1">
      <c r="D140" s="1305"/>
      <c r="E140" s="1305"/>
      <c r="F140" s="1305"/>
      <c r="I140" s="489"/>
    </row>
    <row r="141" spans="1:9" ht="13.7" customHeight="1">
      <c r="D141" s="1305"/>
      <c r="E141" s="1305"/>
      <c r="F141" s="1305"/>
      <c r="I141" s="489"/>
    </row>
    <row r="142" spans="1:9" ht="13.7" customHeight="1">
      <c r="A142" s="488"/>
      <c r="B142" s="488"/>
      <c r="D142" s="1305"/>
      <c r="E142" s="1305"/>
      <c r="F142" s="1305"/>
      <c r="I142" s="489"/>
    </row>
    <row r="143" spans="1:9" ht="13.7" customHeight="1">
      <c r="D143" s="1305"/>
      <c r="E143" s="1305"/>
      <c r="F143" s="1305"/>
      <c r="I143" s="489"/>
    </row>
    <row r="144" spans="1:9" ht="13.7" customHeight="1">
      <c r="D144" s="1305"/>
      <c r="E144" s="1305"/>
      <c r="F144" s="1305"/>
      <c r="I144" s="489"/>
    </row>
    <row r="145" spans="2:9" ht="13.7" customHeight="1">
      <c r="D145" s="1305"/>
      <c r="E145" s="1305"/>
      <c r="F145" s="1305"/>
      <c r="I145" s="489"/>
    </row>
    <row r="146" spans="2:9" ht="13.7" customHeight="1">
      <c r="D146" s="1305"/>
      <c r="E146" s="1305"/>
      <c r="F146" s="1305"/>
      <c r="I146" s="489"/>
    </row>
    <row r="147" spans="2:9" ht="13.7" customHeight="1">
      <c r="D147" s="1305"/>
      <c r="E147" s="1305"/>
      <c r="F147" s="1305"/>
      <c r="I147" s="489"/>
    </row>
    <row r="148" spans="2:9" ht="13.7" customHeight="1">
      <c r="D148" s="1305"/>
      <c r="E148" s="1305"/>
      <c r="F148" s="1305"/>
      <c r="I148" s="489"/>
    </row>
    <row r="149" spans="2:9" ht="13.7" customHeight="1">
      <c r="D149" s="1305"/>
      <c r="E149" s="1305"/>
      <c r="F149" s="1305"/>
      <c r="I149" s="489"/>
    </row>
    <row r="150" spans="2:9" ht="13.7" customHeight="1">
      <c r="D150" s="475"/>
      <c r="E150" s="445"/>
      <c r="F150" s="445"/>
      <c r="I150" s="489"/>
    </row>
    <row r="151" spans="2:9" ht="13.7" customHeight="1">
      <c r="B151" s="484" t="s">
        <v>2671</v>
      </c>
      <c r="D151" s="1305" t="s">
        <v>1178</v>
      </c>
      <c r="E151" s="1305"/>
      <c r="F151" s="1305"/>
      <c r="I151" s="489"/>
    </row>
    <row r="152" spans="2:9" ht="13.7" customHeight="1">
      <c r="D152" s="1305"/>
      <c r="E152" s="1305"/>
      <c r="F152" s="1305"/>
      <c r="I152" s="489"/>
    </row>
    <row r="153" spans="2:9" ht="13.7" customHeight="1">
      <c r="D153" s="1305"/>
      <c r="E153" s="1305"/>
      <c r="F153" s="1305"/>
      <c r="I153" s="489"/>
    </row>
    <row r="154" spans="2:9" ht="13.7" customHeight="1">
      <c r="D154" s="1305"/>
      <c r="E154" s="1305"/>
      <c r="F154" s="1305"/>
      <c r="I154" s="489"/>
    </row>
    <row r="155" spans="2:9" ht="13.7" customHeight="1">
      <c r="D155" s="1305"/>
      <c r="E155" s="1305"/>
      <c r="F155" s="1305"/>
      <c r="I155" s="489"/>
    </row>
    <row r="156" spans="2:9" ht="13.7" customHeight="1">
      <c r="D156" s="1305"/>
      <c r="E156" s="1305"/>
      <c r="F156" s="1305"/>
      <c r="I156" s="489"/>
    </row>
    <row r="157" spans="2:9" ht="13.7" customHeight="1">
      <c r="D157" s="1305"/>
      <c r="E157" s="1305"/>
      <c r="F157" s="1305"/>
      <c r="I157" s="489"/>
    </row>
    <row r="158" spans="2:9" ht="13.7" customHeight="1">
      <c r="D158" s="1305"/>
      <c r="E158" s="1305"/>
      <c r="F158" s="1305"/>
      <c r="I158" s="489"/>
    </row>
    <row r="159" spans="2:9" ht="13.7" customHeight="1">
      <c r="D159" s="1305"/>
      <c r="E159" s="1305"/>
      <c r="F159" s="1305"/>
      <c r="I159" s="489"/>
    </row>
    <row r="160" spans="2:9" ht="13.7" customHeight="1">
      <c r="D160" s="1305"/>
      <c r="E160" s="1305"/>
      <c r="F160" s="1305"/>
      <c r="I160" s="489"/>
    </row>
    <row r="161" spans="1:9" ht="13.7" customHeight="1">
      <c r="D161" s="1305"/>
      <c r="E161" s="1305"/>
      <c r="F161" s="1305"/>
      <c r="I161" s="489"/>
    </row>
    <row r="162" spans="1:9" ht="13.7" customHeight="1">
      <c r="D162" s="1305"/>
      <c r="E162" s="1305"/>
      <c r="F162" s="1305"/>
      <c r="I162" s="489"/>
    </row>
    <row r="163" spans="1:9" ht="13.7" customHeight="1">
      <c r="D163" s="1305"/>
      <c r="E163" s="1305"/>
      <c r="F163" s="1305"/>
      <c r="I163" s="489"/>
    </row>
    <row r="164" spans="1:9" ht="13.7" customHeight="1">
      <c r="D164" s="1305"/>
      <c r="E164" s="1305"/>
      <c r="F164" s="1305"/>
      <c r="I164" s="489"/>
    </row>
    <row r="165" spans="1:9" ht="13.7" customHeight="1">
      <c r="D165" s="1305"/>
      <c r="E165" s="1305"/>
      <c r="F165" s="1305"/>
      <c r="I165" s="489"/>
    </row>
    <row r="166" spans="1:9" ht="13.7" customHeight="1">
      <c r="D166" s="1305"/>
      <c r="E166" s="1305"/>
      <c r="F166" s="1305"/>
      <c r="I166" s="489"/>
    </row>
    <row r="167" spans="1:9" ht="13.7" customHeight="1">
      <c r="D167" s="1305"/>
      <c r="E167" s="1305"/>
      <c r="F167" s="1305"/>
      <c r="I167" s="489"/>
    </row>
    <row r="168" spans="1:9" ht="13.7" customHeight="1">
      <c r="D168" s="1305"/>
      <c r="E168" s="1305"/>
      <c r="F168" s="1305"/>
      <c r="I168" s="489"/>
    </row>
    <row r="169" spans="1:9" ht="13.7" customHeight="1">
      <c r="D169" s="1324" t="s">
        <v>2074</v>
      </c>
      <c r="E169" s="1324"/>
      <c r="F169" s="1324"/>
      <c r="G169" s="506"/>
      <c r="I169" s="489"/>
    </row>
    <row r="170" spans="1:9" ht="13.7" customHeight="1">
      <c r="D170" s="1322"/>
      <c r="E170" s="1322"/>
      <c r="F170" s="1322"/>
      <c r="G170" s="1322"/>
      <c r="I170" s="489"/>
    </row>
    <row r="171" spans="1:9" ht="14.45" customHeight="1">
      <c r="A171" s="488"/>
      <c r="B171" s="484" t="s">
        <v>2671</v>
      </c>
      <c r="C171" s="475"/>
      <c r="D171" s="1276" t="s">
        <v>2214</v>
      </c>
      <c r="E171" s="1276"/>
      <c r="F171" s="1276"/>
      <c r="G171" s="475"/>
      <c r="I171" s="489"/>
    </row>
    <row r="172" spans="1:9" ht="14.45" customHeight="1">
      <c r="A172" s="488"/>
      <c r="B172" s="488"/>
      <c r="C172" s="475"/>
      <c r="D172" s="1276"/>
      <c r="E172" s="1276"/>
      <c r="F172" s="1276"/>
      <c r="G172" s="475"/>
      <c r="I172" s="489"/>
    </row>
    <row r="173" spans="1:9" ht="14.45" customHeight="1">
      <c r="A173" s="488"/>
      <c r="B173" s="488"/>
      <c r="C173" s="475"/>
      <c r="D173" s="1276"/>
      <c r="E173" s="1276"/>
      <c r="F173" s="1276"/>
      <c r="G173" s="475"/>
      <c r="I173" s="489"/>
    </row>
    <row r="174" spans="1:9" ht="14.45" customHeight="1">
      <c r="A174" s="488"/>
      <c r="B174" s="488"/>
      <c r="C174" s="475"/>
      <c r="D174" s="1276"/>
      <c r="E174" s="1276"/>
      <c r="F174" s="1276"/>
      <c r="G174" s="475"/>
      <c r="I174" s="489"/>
    </row>
    <row r="175" spans="1:9" ht="13.7" customHeight="1">
      <c r="A175" s="488"/>
      <c r="B175" s="488"/>
      <c r="C175" s="475"/>
      <c r="D175" s="1276"/>
      <c r="E175" s="1276"/>
      <c r="F175" s="1276"/>
      <c r="G175" s="475"/>
      <c r="I175" s="489"/>
    </row>
    <row r="176" spans="1:9" ht="13.7" customHeight="1">
      <c r="A176" s="488"/>
      <c r="B176" s="488"/>
      <c r="C176" s="475"/>
      <c r="D176" s="475"/>
      <c r="E176" s="475"/>
      <c r="F176" s="475"/>
      <c r="G176" s="475"/>
      <c r="I176" s="489"/>
    </row>
    <row r="177" spans="1:9" ht="13.7" customHeight="1">
      <c r="A177" s="488"/>
      <c r="B177" s="484" t="s">
        <v>2671</v>
      </c>
      <c r="C177" s="475"/>
      <c r="D177" s="1276" t="s">
        <v>1107</v>
      </c>
      <c r="E177" s="1276"/>
      <c r="F177" s="1276"/>
      <c r="G177" s="475"/>
      <c r="I177" s="489"/>
    </row>
    <row r="178" spans="1:9" ht="13.7" customHeight="1">
      <c r="A178" s="488"/>
      <c r="B178" s="488"/>
      <c r="C178" s="475"/>
      <c r="D178" s="1276"/>
      <c r="E178" s="1276"/>
      <c r="F178" s="1276"/>
      <c r="G178" s="475"/>
      <c r="I178" s="489"/>
    </row>
    <row r="179" spans="1:9" ht="13.7" customHeight="1">
      <c r="A179" s="488"/>
      <c r="B179" s="488"/>
      <c r="C179" s="475"/>
      <c r="D179" s="1276"/>
      <c r="E179" s="1276"/>
      <c r="F179" s="1276"/>
      <c r="G179" s="475"/>
      <c r="I179" s="489"/>
    </row>
    <row r="180" spans="1:9" ht="13.7" customHeight="1">
      <c r="A180" s="488"/>
      <c r="B180" s="488"/>
      <c r="C180" s="475"/>
      <c r="D180" s="1276"/>
      <c r="E180" s="1276"/>
      <c r="F180" s="1276"/>
      <c r="G180" s="475"/>
      <c r="I180" s="489"/>
    </row>
    <row r="181" spans="1:9" ht="13.7" customHeight="1">
      <c r="D181" s="445"/>
      <c r="E181" s="445"/>
      <c r="F181" s="445"/>
      <c r="I181" s="489"/>
    </row>
    <row r="182" spans="1:9" ht="13.7" customHeight="1">
      <c r="B182" s="484" t="s">
        <v>2744</v>
      </c>
      <c r="D182" s="1317" t="s">
        <v>2052</v>
      </c>
      <c r="E182" s="1317"/>
      <c r="F182" s="1317"/>
      <c r="I182" s="489"/>
    </row>
    <row r="183" spans="1:9" ht="13.7" customHeight="1">
      <c r="D183" s="1317"/>
      <c r="E183" s="1317"/>
      <c r="F183" s="1317"/>
      <c r="I183" s="489"/>
    </row>
    <row r="184" spans="1:9" ht="13.7" customHeight="1">
      <c r="D184" s="1317"/>
      <c r="E184" s="1317"/>
      <c r="F184" s="1317"/>
      <c r="I184" s="489"/>
    </row>
    <row r="185" spans="1:9" ht="13.7" customHeight="1">
      <c r="A185" s="489"/>
      <c r="B185" s="489"/>
      <c r="E185" s="445"/>
      <c r="F185" s="445"/>
      <c r="I185" s="489"/>
    </row>
    <row r="186" spans="1:9">
      <c r="A186" s="1312" t="s">
        <v>2053</v>
      </c>
      <c r="B186" s="1312"/>
      <c r="C186" s="1312"/>
      <c r="D186" s="1312"/>
      <c r="E186" s="1312"/>
      <c r="F186" s="1312"/>
      <c r="G186" s="1312"/>
      <c r="H186" s="1027"/>
      <c r="I186" s="1152"/>
    </row>
    <row r="187" spans="1:9" ht="12" customHeight="1">
      <c r="D187" s="445"/>
      <c r="E187" s="445"/>
      <c r="F187" s="445"/>
      <c r="I187" s="489"/>
    </row>
    <row r="188" spans="1:9">
      <c r="B188" s="1307" t="s">
        <v>447</v>
      </c>
      <c r="C188" s="1307"/>
      <c r="D188" s="1307"/>
      <c r="E188" s="1307"/>
      <c r="F188" s="1307"/>
      <c r="I188" s="489"/>
    </row>
    <row r="189" spans="1:9">
      <c r="B189" s="391" t="s">
        <v>1876</v>
      </c>
      <c r="C189" s="391"/>
      <c r="D189" s="391"/>
      <c r="E189" s="391"/>
      <c r="F189" s="391"/>
      <c r="I189" s="489"/>
    </row>
    <row r="190" spans="1:9" ht="12" customHeight="1">
      <c r="A190" s="481"/>
      <c r="B190" s="481"/>
      <c r="C190" s="481"/>
      <c r="I190" s="489"/>
    </row>
    <row r="191" spans="1:9">
      <c r="A191" s="1312" t="s">
        <v>1046</v>
      </c>
      <c r="B191" s="1312"/>
      <c r="C191" s="1312"/>
      <c r="D191" s="1312"/>
      <c r="E191" s="1312"/>
      <c r="F191" s="1312"/>
      <c r="G191" s="1312"/>
      <c r="H191" s="1027"/>
      <c r="I191" s="1152"/>
    </row>
    <row r="192" spans="1:9" ht="12" customHeight="1">
      <c r="A192" s="403"/>
      <c r="B192" s="403"/>
      <c r="E192" s="403"/>
      <c r="I192" s="489"/>
    </row>
    <row r="193" spans="1:9" ht="13.7" customHeight="1">
      <c r="A193" s="403"/>
      <c r="B193" s="403"/>
      <c r="D193" s="1321" t="s">
        <v>1747</v>
      </c>
      <c r="E193" s="1321"/>
      <c r="F193" s="1321"/>
      <c r="I193" s="489"/>
    </row>
    <row r="194" spans="1:9">
      <c r="A194" s="403"/>
      <c r="B194" s="403"/>
      <c r="D194" s="1321"/>
      <c r="E194" s="1321"/>
      <c r="F194" s="1321"/>
      <c r="I194" s="489"/>
    </row>
    <row r="195" spans="1:9">
      <c r="A195" s="403"/>
      <c r="B195" s="403"/>
      <c r="D195" s="1307" t="s">
        <v>1196</v>
      </c>
      <c r="E195" s="1307"/>
      <c r="F195" s="1307"/>
      <c r="I195" s="489"/>
    </row>
    <row r="196" spans="1:9">
      <c r="A196" s="403"/>
      <c r="B196" s="403"/>
      <c r="D196" s="391"/>
      <c r="E196" s="391"/>
      <c r="F196" s="391"/>
      <c r="I196" s="489"/>
    </row>
    <row r="197" spans="1:9">
      <c r="A197" s="403"/>
      <c r="B197" s="484" t="s">
        <v>2671</v>
      </c>
      <c r="D197" s="1292" t="s">
        <v>1748</v>
      </c>
      <c r="E197" s="1292"/>
      <c r="F197" s="1292"/>
      <c r="I197" s="489"/>
    </row>
    <row r="198" spans="1:9">
      <c r="A198" s="403"/>
      <c r="B198" s="403"/>
      <c r="D198" s="1291" t="s">
        <v>1903</v>
      </c>
      <c r="E198" s="1291"/>
      <c r="F198" s="1291"/>
      <c r="I198" s="489"/>
    </row>
    <row r="199" spans="1:9">
      <c r="A199" s="403"/>
      <c r="B199" s="403"/>
      <c r="D199" s="96" t="s">
        <v>1749</v>
      </c>
      <c r="E199" s="1329" t="s">
        <v>1926</v>
      </c>
      <c r="F199" s="1329"/>
      <c r="I199" s="489"/>
    </row>
    <row r="200" spans="1:9">
      <c r="A200" s="403"/>
      <c r="B200" s="403"/>
      <c r="D200" s="3"/>
      <c r="E200" s="3"/>
      <c r="F200" s="3"/>
      <c r="I200" s="489"/>
    </row>
    <row r="201" spans="1:9">
      <c r="A201" s="403"/>
      <c r="B201" s="484" t="s">
        <v>2744</v>
      </c>
      <c r="D201" s="1291" t="s">
        <v>1750</v>
      </c>
      <c r="E201" s="1291"/>
      <c r="F201" s="1291"/>
      <c r="I201" s="489"/>
    </row>
    <row r="202" spans="1:9">
      <c r="A202" s="403"/>
      <c r="B202" s="403"/>
      <c r="D202" s="1292" t="s">
        <v>1903</v>
      </c>
      <c r="E202" s="1292"/>
      <c r="F202" s="1292"/>
      <c r="I202" s="489"/>
    </row>
    <row r="203" spans="1:9">
      <c r="A203" s="403"/>
      <c r="B203" s="403"/>
      <c r="D203" s="57" t="s">
        <v>1751</v>
      </c>
      <c r="E203" s="1329" t="s">
        <v>1927</v>
      </c>
      <c r="F203" s="1329"/>
      <c r="I203" s="489"/>
    </row>
    <row r="204" spans="1:9">
      <c r="A204" s="403"/>
      <c r="B204" s="403"/>
      <c r="D204" s="3"/>
      <c r="E204" s="3"/>
      <c r="F204" s="3"/>
      <c r="I204" s="489"/>
    </row>
    <row r="205" spans="1:9">
      <c r="A205" s="403"/>
      <c r="B205" s="484" t="s">
        <v>2744</v>
      </c>
      <c r="D205" s="1291" t="s">
        <v>1752</v>
      </c>
      <c r="E205" s="1291"/>
      <c r="F205" s="1291"/>
      <c r="I205" s="489"/>
    </row>
    <row r="206" spans="1:9">
      <c r="A206" s="403"/>
      <c r="B206" s="403"/>
      <c r="D206" s="1292" t="s">
        <v>1903</v>
      </c>
      <c r="E206" s="1292"/>
      <c r="F206" s="1292"/>
      <c r="I206" s="489"/>
    </row>
    <row r="207" spans="1:9">
      <c r="A207" s="403"/>
      <c r="B207" s="403"/>
      <c r="D207" s="57" t="s">
        <v>1749</v>
      </c>
      <c r="E207" s="1329" t="s">
        <v>1928</v>
      </c>
      <c r="F207" s="1329"/>
      <c r="I207" s="489"/>
    </row>
    <row r="208" spans="1:9">
      <c r="A208" s="403"/>
      <c r="B208" s="403"/>
      <c r="D208" s="391"/>
      <c r="E208" s="391"/>
      <c r="F208" s="391"/>
      <c r="I208" s="489"/>
    </row>
    <row r="209" spans="1:9" ht="14.25" customHeight="1">
      <c r="A209" s="483"/>
      <c r="B209" s="484" t="s">
        <v>2671</v>
      </c>
      <c r="D209" s="385" t="s">
        <v>1896</v>
      </c>
      <c r="E209" s="384"/>
      <c r="F209" s="384"/>
      <c r="I209" s="489"/>
    </row>
    <row r="210" spans="1:9" ht="14.25">
      <c r="A210" s="483"/>
      <c r="B210" s="483"/>
      <c r="D210" s="1292" t="s">
        <v>1903</v>
      </c>
      <c r="E210" s="1292"/>
      <c r="F210" s="1292"/>
      <c r="I210" s="489"/>
    </row>
    <row r="211" spans="1:9">
      <c r="D211" s="384"/>
      <c r="E211" s="1329" t="s">
        <v>1929</v>
      </c>
      <c r="F211" s="1329"/>
      <c r="I211" s="489"/>
    </row>
    <row r="212" spans="1:9">
      <c r="D212" s="446"/>
      <c r="I212" s="489"/>
    </row>
    <row r="213" spans="1:9">
      <c r="B213" s="484" t="s">
        <v>2671</v>
      </c>
      <c r="D213" s="1291" t="s">
        <v>1753</v>
      </c>
      <c r="E213" s="1291"/>
      <c r="F213" s="1291"/>
      <c r="I213" s="489"/>
    </row>
    <row r="214" spans="1:9">
      <c r="D214" s="1292" t="s">
        <v>1903</v>
      </c>
      <c r="E214" s="1292"/>
      <c r="F214" s="1292"/>
      <c r="I214" s="489"/>
    </row>
    <row r="215" spans="1:9">
      <c r="D215" s="57" t="s">
        <v>1749</v>
      </c>
      <c r="E215" s="1329" t="s">
        <v>1930</v>
      </c>
      <c r="F215" s="1329"/>
      <c r="I215" s="489"/>
    </row>
    <row r="216" spans="1:9">
      <c r="D216" s="450"/>
      <c r="E216" s="450"/>
      <c r="F216" s="450"/>
      <c r="I216" s="489"/>
    </row>
    <row r="217" spans="1:9" ht="14.25">
      <c r="A217" s="483"/>
      <c r="B217" s="484" t="s">
        <v>2671</v>
      </c>
      <c r="D217" s="1305" t="s">
        <v>1217</v>
      </c>
      <c r="E217" s="1305"/>
      <c r="F217" s="1305"/>
      <c r="I217" s="489"/>
    </row>
    <row r="218" spans="1:9" ht="14.45" customHeight="1">
      <c r="A218" s="483"/>
      <c r="B218" s="401"/>
      <c r="D218" s="1305"/>
      <c r="E218" s="1305"/>
      <c r="F218" s="1305"/>
      <c r="I218" s="489"/>
    </row>
    <row r="219" spans="1:9" ht="14.25">
      <c r="A219" s="483"/>
      <c r="D219" s="1305"/>
      <c r="E219" s="1305"/>
      <c r="F219" s="1305"/>
      <c r="I219" s="489"/>
    </row>
    <row r="220" spans="1:9" ht="14.25">
      <c r="A220" s="483"/>
      <c r="D220" s="1305"/>
      <c r="E220" s="1305"/>
      <c r="F220" s="1305"/>
      <c r="I220" s="489"/>
    </row>
    <row r="221" spans="1:9">
      <c r="D221" s="450"/>
      <c r="E221" s="450"/>
      <c r="F221" s="450"/>
      <c r="I221" s="489"/>
    </row>
    <row r="222" spans="1:9">
      <c r="A222" s="1312" t="s">
        <v>1047</v>
      </c>
      <c r="B222" s="1312"/>
      <c r="C222" s="1312"/>
      <c r="D222" s="1312"/>
      <c r="E222" s="1312"/>
      <c r="F222" s="1312"/>
      <c r="G222" s="1312"/>
      <c r="H222" s="1027"/>
      <c r="I222" s="1152"/>
    </row>
    <row r="223" spans="1:9" ht="12" customHeight="1">
      <c r="D223" s="445"/>
      <c r="E223" s="445"/>
      <c r="F223" s="445"/>
      <c r="I223" s="489"/>
    </row>
    <row r="224" spans="1:9">
      <c r="C224" s="485"/>
      <c r="D224" s="1313" t="s">
        <v>208</v>
      </c>
      <c r="E224" s="1313"/>
      <c r="F224" s="1313"/>
      <c r="I224" s="489"/>
    </row>
    <row r="225" spans="1:9">
      <c r="A225" s="481"/>
      <c r="B225" s="481"/>
      <c r="C225" s="481"/>
      <c r="D225" s="1303" t="s">
        <v>1121</v>
      </c>
      <c r="E225" s="1303"/>
      <c r="F225" s="1303"/>
      <c r="I225" s="489"/>
    </row>
    <row r="226" spans="1:9" ht="12" customHeight="1">
      <c r="A226" s="489"/>
      <c r="B226" s="489"/>
      <c r="C226" s="489"/>
      <c r="I226" s="489"/>
    </row>
    <row r="227" spans="1:9" ht="13.7" customHeight="1">
      <c r="A227" s="489"/>
      <c r="C227" s="489"/>
      <c r="D227" s="1313" t="s">
        <v>547</v>
      </c>
      <c r="E227" s="1313"/>
      <c r="F227" s="1313"/>
      <c r="I227" s="489"/>
    </row>
    <row r="228" spans="1:9" ht="14.25">
      <c r="A228" s="483"/>
      <c r="B228" s="484" t="s">
        <v>2744</v>
      </c>
      <c r="D228" s="1305" t="s">
        <v>1754</v>
      </c>
      <c r="E228" s="1305"/>
      <c r="F228" s="1305"/>
      <c r="I228" s="489"/>
    </row>
    <row r="229" spans="1:9" ht="14.25" customHeight="1">
      <c r="A229" s="483"/>
      <c r="B229" s="483"/>
      <c r="D229" s="1305"/>
      <c r="E229" s="1305"/>
      <c r="F229" s="1305"/>
      <c r="I229" s="489"/>
    </row>
    <row r="230" spans="1:9" ht="14.25" customHeight="1">
      <c r="A230" s="483"/>
      <c r="B230" s="483"/>
      <c r="D230" s="1305"/>
      <c r="E230" s="1305"/>
      <c r="F230" s="1305"/>
      <c r="I230" s="489"/>
    </row>
    <row r="231" spans="1:9" ht="14.25">
      <c r="A231" s="483"/>
      <c r="B231" s="483"/>
      <c r="D231" s="1305"/>
      <c r="E231" s="1305"/>
      <c r="F231" s="1305"/>
      <c r="I231" s="489"/>
    </row>
    <row r="232" spans="1:9" ht="14.25">
      <c r="A232" s="483"/>
      <c r="B232" s="483"/>
      <c r="D232" s="444"/>
      <c r="E232" s="444"/>
      <c r="F232" s="444"/>
      <c r="I232" s="489"/>
    </row>
    <row r="233" spans="1:9" ht="14.25">
      <c r="A233" s="483"/>
      <c r="B233" s="484" t="s">
        <v>2744</v>
      </c>
      <c r="D233" s="1305" t="s">
        <v>1755</v>
      </c>
      <c r="E233" s="1305"/>
      <c r="F233" s="1305"/>
      <c r="I233" s="489"/>
    </row>
    <row r="234" spans="1:9" ht="14.25">
      <c r="A234" s="483"/>
      <c r="B234" s="483"/>
      <c r="D234" s="1305"/>
      <c r="E234" s="1305"/>
      <c r="F234" s="1305"/>
      <c r="I234" s="489"/>
    </row>
    <row r="235" spans="1:9" ht="14.25">
      <c r="A235" s="483"/>
      <c r="B235" s="483"/>
      <c r="D235" s="1305"/>
      <c r="E235" s="1305"/>
      <c r="F235" s="1305"/>
      <c r="I235" s="489"/>
    </row>
    <row r="236" spans="1:9" ht="14.25">
      <c r="A236" s="483"/>
      <c r="B236" s="483"/>
      <c r="D236" s="1305"/>
      <c r="E236" s="1305"/>
      <c r="F236" s="1305"/>
      <c r="I236" s="489"/>
    </row>
    <row r="237" spans="1:9" ht="14.25" customHeight="1">
      <c r="A237" s="483"/>
      <c r="B237" s="483"/>
      <c r="D237" s="1305"/>
      <c r="E237" s="1305"/>
      <c r="F237" s="1305"/>
      <c r="I237" s="489"/>
    </row>
    <row r="238" spans="1:9" ht="14.25" customHeight="1">
      <c r="A238" s="483"/>
      <c r="B238" s="483"/>
      <c r="D238" s="444"/>
      <c r="E238" s="444"/>
      <c r="F238" s="444"/>
      <c r="I238" s="489"/>
    </row>
    <row r="239" spans="1:9" ht="14.25">
      <c r="A239" s="483"/>
      <c r="B239" s="483"/>
      <c r="D239" s="1305" t="s">
        <v>1119</v>
      </c>
      <c r="E239" s="1305"/>
      <c r="F239" s="1305"/>
      <c r="I239" s="489"/>
    </row>
    <row r="240" spans="1:9" ht="14.25">
      <c r="A240" s="483"/>
      <c r="B240" s="483"/>
      <c r="D240" s="1305"/>
      <c r="E240" s="1305"/>
      <c r="F240" s="1305"/>
      <c r="I240" s="489"/>
    </row>
    <row r="241" spans="1:9" ht="14.25">
      <c r="A241" s="483"/>
      <c r="B241" s="483"/>
      <c r="D241" s="1305"/>
      <c r="E241" s="1305"/>
      <c r="F241" s="1305"/>
      <c r="I241" s="489"/>
    </row>
    <row r="242" spans="1:9" ht="14.25">
      <c r="A242" s="483"/>
      <c r="B242" s="483"/>
      <c r="D242" s="1305"/>
      <c r="E242" s="1305"/>
      <c r="F242" s="1305"/>
      <c r="I242" s="489"/>
    </row>
    <row r="243" spans="1:9" ht="14.25">
      <c r="A243" s="483"/>
      <c r="B243" s="483"/>
      <c r="D243" s="1305"/>
      <c r="E243" s="1305"/>
      <c r="F243" s="1305"/>
      <c r="I243" s="489"/>
    </row>
    <row r="244" spans="1:9" ht="14.25">
      <c r="A244" s="483"/>
      <c r="B244" s="483"/>
      <c r="D244" s="445"/>
      <c r="E244" s="445"/>
      <c r="F244" s="445"/>
      <c r="I244" s="489"/>
    </row>
    <row r="245" spans="1:9" ht="14.25">
      <c r="A245" s="483"/>
      <c r="B245" s="484" t="s">
        <v>2671</v>
      </c>
      <c r="D245" s="1305" t="s">
        <v>2054</v>
      </c>
      <c r="E245" s="1305"/>
      <c r="F245" s="1305"/>
      <c r="I245" s="489"/>
    </row>
    <row r="246" spans="1:9" ht="14.25">
      <c r="A246" s="483"/>
      <c r="B246" s="483"/>
      <c r="D246" s="1305"/>
      <c r="E246" s="1305"/>
      <c r="F246" s="1305"/>
      <c r="I246" s="489"/>
    </row>
    <row r="247" spans="1:9" ht="14.25">
      <c r="A247" s="483"/>
      <c r="B247" s="483"/>
      <c r="D247" s="1305"/>
      <c r="E247" s="1305"/>
      <c r="F247" s="1305"/>
      <c r="I247" s="489"/>
    </row>
    <row r="248" spans="1:9" ht="14.25">
      <c r="A248" s="483"/>
      <c r="B248" s="483"/>
      <c r="E248" s="1035" t="s">
        <v>1897</v>
      </c>
      <c r="I248" s="489"/>
    </row>
    <row r="249" spans="1:9" ht="14.25">
      <c r="A249" s="483"/>
      <c r="B249" s="483"/>
      <c r="D249" s="445"/>
      <c r="E249" s="445"/>
      <c r="F249" s="445"/>
      <c r="I249" s="489"/>
    </row>
    <row r="250" spans="1:9" ht="14.45" customHeight="1">
      <c r="A250" s="483"/>
      <c r="B250" s="484" t="s">
        <v>2671</v>
      </c>
      <c r="D250" s="1305" t="s">
        <v>2055</v>
      </c>
      <c r="E250" s="1305"/>
      <c r="F250" s="1305"/>
      <c r="I250" s="489"/>
    </row>
    <row r="251" spans="1:9" ht="14.25">
      <c r="A251" s="483"/>
      <c r="B251" s="483"/>
      <c r="D251" s="1305"/>
      <c r="E251" s="1305"/>
      <c r="F251" s="1305"/>
      <c r="I251" s="489"/>
    </row>
    <row r="252" spans="1:9" ht="14.25">
      <c r="A252" s="483"/>
      <c r="B252" s="483"/>
      <c r="D252" s="1305"/>
      <c r="E252" s="1305"/>
      <c r="F252" s="1305"/>
      <c r="I252" s="489"/>
    </row>
    <row r="253" spans="1:9" ht="14.25">
      <c r="A253" s="483"/>
      <c r="B253" s="483"/>
      <c r="D253" s="1305"/>
      <c r="E253" s="1305"/>
      <c r="F253" s="1305"/>
      <c r="I253" s="489"/>
    </row>
    <row r="254" spans="1:9" ht="14.25">
      <c r="A254" s="483"/>
      <c r="B254" s="483"/>
      <c r="D254" s="1305"/>
      <c r="E254" s="1305"/>
      <c r="F254" s="1305"/>
      <c r="I254" s="489"/>
    </row>
    <row r="255" spans="1:9" ht="14.25">
      <c r="A255" s="483"/>
      <c r="B255" s="483"/>
      <c r="D255" s="444"/>
      <c r="E255" s="444"/>
      <c r="F255" s="444"/>
      <c r="I255" s="489"/>
    </row>
    <row r="256" spans="1:9" ht="14.25">
      <c r="A256" s="483"/>
      <c r="B256" s="484" t="s">
        <v>2744</v>
      </c>
      <c r="D256" s="391" t="s">
        <v>2056</v>
      </c>
      <c r="E256" s="444"/>
      <c r="F256" s="444"/>
      <c r="I256" s="489"/>
    </row>
    <row r="257" spans="1:9" ht="14.25">
      <c r="A257" s="483"/>
      <c r="B257" s="483"/>
      <c r="E257" s="1035" t="s">
        <v>1898</v>
      </c>
      <c r="I257" s="489"/>
    </row>
    <row r="258" spans="1:9">
      <c r="D258" s="445"/>
      <c r="E258" s="445"/>
      <c r="F258" s="445"/>
      <c r="I258" s="489"/>
    </row>
    <row r="259" spans="1:9" ht="14.25">
      <c r="A259" s="483"/>
      <c r="B259" s="484" t="s">
        <v>2744</v>
      </c>
      <c r="D259" s="1305" t="s">
        <v>1120</v>
      </c>
      <c r="E259" s="1305"/>
      <c r="F259" s="1305"/>
      <c r="I259" s="489"/>
    </row>
    <row r="260" spans="1:9" ht="14.25">
      <c r="A260" s="483"/>
      <c r="B260" s="483"/>
      <c r="D260" s="1305"/>
      <c r="E260" s="1305"/>
      <c r="F260" s="1305"/>
      <c r="I260" s="489"/>
    </row>
    <row r="261" spans="1:9">
      <c r="D261" s="490"/>
      <c r="I261" s="489"/>
    </row>
    <row r="262" spans="1:9">
      <c r="A262" s="1312" t="s">
        <v>1048</v>
      </c>
      <c r="B262" s="1312"/>
      <c r="C262" s="1312"/>
      <c r="D262" s="1312"/>
      <c r="E262" s="1312"/>
      <c r="F262" s="1312"/>
      <c r="G262" s="1312"/>
      <c r="H262" s="1027"/>
      <c r="I262" s="1152"/>
    </row>
    <row r="263" spans="1:9">
      <c r="D263" s="490"/>
      <c r="I263" s="489"/>
    </row>
    <row r="264" spans="1:9">
      <c r="C264" s="485"/>
      <c r="D264" s="1313" t="s">
        <v>1122</v>
      </c>
      <c r="E264" s="1313"/>
      <c r="F264" s="1313"/>
      <c r="I264" s="489"/>
    </row>
    <row r="265" spans="1:9">
      <c r="A265" s="481"/>
      <c r="B265" s="481"/>
      <c r="C265" s="481"/>
      <c r="D265" s="445"/>
      <c r="E265" s="445"/>
      <c r="F265" s="445"/>
      <c r="I265" s="489"/>
    </row>
    <row r="266" spans="1:9">
      <c r="A266" s="482"/>
      <c r="B266" s="482"/>
      <c r="C266" s="482"/>
      <c r="D266" s="1313" t="s">
        <v>269</v>
      </c>
      <c r="E266" s="1313"/>
      <c r="F266" s="1313"/>
      <c r="I266" s="489"/>
    </row>
    <row r="267" spans="1:9" ht="14.45" customHeight="1">
      <c r="A267" s="483"/>
      <c r="B267" s="484" t="s">
        <v>2744</v>
      </c>
      <c r="D267" s="1305" t="s">
        <v>1197</v>
      </c>
      <c r="E267" s="1305"/>
      <c r="F267" s="1305"/>
      <c r="I267" s="489"/>
    </row>
    <row r="268" spans="1:9">
      <c r="D268" s="1305"/>
      <c r="E268" s="1305"/>
      <c r="F268" s="1305"/>
      <c r="I268" s="489"/>
    </row>
    <row r="269" spans="1:9">
      <c r="E269" s="1035" t="s">
        <v>1899</v>
      </c>
      <c r="I269" s="489"/>
    </row>
    <row r="270" spans="1:9">
      <c r="D270" s="445"/>
      <c r="E270" s="445"/>
      <c r="F270" s="445"/>
      <c r="I270" s="489"/>
    </row>
    <row r="271" spans="1:9" ht="14.45" customHeight="1">
      <c r="A271" s="483"/>
      <c r="B271" s="484" t="s">
        <v>2671</v>
      </c>
      <c r="D271" s="1305" t="s">
        <v>2057</v>
      </c>
      <c r="E271" s="1305"/>
      <c r="F271" s="1305"/>
      <c r="I271" s="489"/>
    </row>
    <row r="272" spans="1:9">
      <c r="D272" s="1305"/>
      <c r="E272" s="1305"/>
      <c r="F272" s="1305"/>
      <c r="I272" s="489"/>
    </row>
    <row r="273" spans="1:9">
      <c r="D273" s="1305"/>
      <c r="E273" s="1305"/>
      <c r="F273" s="1305"/>
      <c r="I273" s="489"/>
    </row>
    <row r="274" spans="1:9">
      <c r="D274" s="1305"/>
      <c r="E274" s="1305"/>
      <c r="F274" s="1305"/>
      <c r="I274" s="489"/>
    </row>
    <row r="275" spans="1:9">
      <c r="D275" s="1305"/>
      <c r="E275" s="1305"/>
      <c r="F275" s="1305"/>
      <c r="I275" s="489"/>
    </row>
    <row r="276" spans="1:9">
      <c r="D276" s="1305"/>
      <c r="E276" s="1305"/>
      <c r="F276" s="1305"/>
      <c r="I276" s="489"/>
    </row>
    <row r="277" spans="1:9">
      <c r="D277" s="445"/>
      <c r="E277" s="445"/>
      <c r="F277" s="445"/>
      <c r="I277" s="489"/>
    </row>
    <row r="278" spans="1:9" ht="14.25">
      <c r="A278" s="483"/>
      <c r="B278" s="484" t="s">
        <v>2671</v>
      </c>
      <c r="D278" s="1305" t="s">
        <v>1123</v>
      </c>
      <c r="E278" s="1305"/>
      <c r="F278" s="1305"/>
      <c r="I278" s="489"/>
    </row>
    <row r="279" spans="1:9">
      <c r="D279" s="1305"/>
      <c r="E279" s="1305"/>
      <c r="F279" s="1305"/>
      <c r="I279" s="489"/>
    </row>
    <row r="280" spans="1:9">
      <c r="D280" s="1305"/>
      <c r="E280" s="1305"/>
      <c r="F280" s="1305"/>
      <c r="I280" s="489"/>
    </row>
    <row r="281" spans="1:9">
      <c r="D281" s="491"/>
      <c r="E281" s="445"/>
      <c r="F281" s="445"/>
      <c r="I281" s="489"/>
    </row>
    <row r="282" spans="1:9">
      <c r="A282" s="1312" t="s">
        <v>1049</v>
      </c>
      <c r="B282" s="1312"/>
      <c r="C282" s="1312"/>
      <c r="D282" s="1312"/>
      <c r="E282" s="1312"/>
      <c r="F282" s="1312"/>
      <c r="G282" s="1312"/>
      <c r="H282" s="1027"/>
      <c r="I282" s="1152"/>
    </row>
    <row r="283" spans="1:9">
      <c r="D283" s="491"/>
      <c r="E283" s="445"/>
      <c r="F283" s="445"/>
      <c r="I283" s="489"/>
    </row>
    <row r="284" spans="1:9">
      <c r="C284" s="481"/>
      <c r="D284" s="1321" t="s">
        <v>1124</v>
      </c>
      <c r="E284" s="1321"/>
      <c r="F284" s="1321"/>
      <c r="I284" s="489"/>
    </row>
    <row r="285" spans="1:9">
      <c r="C285" s="481"/>
      <c r="D285" s="1321"/>
      <c r="E285" s="1321"/>
      <c r="F285" s="1321"/>
      <c r="I285" s="489"/>
    </row>
    <row r="286" spans="1:9">
      <c r="A286" s="482"/>
      <c r="B286" s="482"/>
      <c r="C286" s="482"/>
      <c r="D286" s="403"/>
      <c r="I286" s="489"/>
    </row>
    <row r="287" spans="1:9">
      <c r="C287" s="482"/>
      <c r="D287" s="1313" t="s">
        <v>209</v>
      </c>
      <c r="E287" s="1313"/>
      <c r="F287" s="1313"/>
      <c r="I287" s="489"/>
    </row>
    <row r="288" spans="1:9" ht="15.75" customHeight="1">
      <c r="A288" s="483"/>
      <c r="B288" s="483"/>
      <c r="D288" s="1330" t="s">
        <v>1125</v>
      </c>
      <c r="E288" s="1330"/>
      <c r="F288" s="1330"/>
      <c r="I288" s="489"/>
    </row>
    <row r="289" spans="1:9">
      <c r="E289" s="445"/>
      <c r="F289" s="445"/>
      <c r="I289" s="489"/>
    </row>
    <row r="290" spans="1:9" ht="14.25">
      <c r="A290" s="483"/>
      <c r="B290" s="484" t="s">
        <v>2671</v>
      </c>
      <c r="D290" s="1305" t="s">
        <v>1126</v>
      </c>
      <c r="E290" s="1305"/>
      <c r="F290" s="1305"/>
      <c r="I290" s="489"/>
    </row>
    <row r="291" spans="1:9" ht="14.25">
      <c r="A291" s="483"/>
      <c r="B291" s="483"/>
      <c r="D291" s="1305"/>
      <c r="E291" s="1305"/>
      <c r="F291" s="1305"/>
      <c r="I291" s="489"/>
    </row>
    <row r="292" spans="1:9">
      <c r="D292" s="445"/>
      <c r="E292" s="445"/>
      <c r="F292" s="445"/>
      <c r="I292" s="489"/>
    </row>
    <row r="293" spans="1:9" ht="14.25">
      <c r="A293" s="483"/>
      <c r="B293" s="484" t="s">
        <v>2671</v>
      </c>
      <c r="D293" s="1305" t="s">
        <v>1127</v>
      </c>
      <c r="E293" s="1305"/>
      <c r="F293" s="1305"/>
      <c r="I293" s="489"/>
    </row>
    <row r="294" spans="1:9" ht="14.25">
      <c r="A294" s="483"/>
      <c r="B294" s="483"/>
      <c r="D294" s="1305"/>
      <c r="E294" s="1305"/>
      <c r="F294" s="1305"/>
      <c r="I294" s="489"/>
    </row>
    <row r="295" spans="1:9" ht="14.25">
      <c r="A295" s="483"/>
      <c r="B295" s="483"/>
      <c r="D295" s="1305"/>
      <c r="E295" s="1305"/>
      <c r="F295" s="1305"/>
      <c r="I295" s="489"/>
    </row>
    <row r="296" spans="1:9">
      <c r="D296" s="445"/>
      <c r="E296" s="445"/>
      <c r="F296" s="445"/>
      <c r="I296" s="489"/>
    </row>
    <row r="297" spans="1:9" ht="14.25">
      <c r="A297" s="483"/>
      <c r="B297" s="484" t="s">
        <v>2671</v>
      </c>
      <c r="D297" s="1305" t="s">
        <v>1128</v>
      </c>
      <c r="E297" s="1305"/>
      <c r="F297" s="1305"/>
      <c r="I297" s="489"/>
    </row>
    <row r="298" spans="1:9" ht="14.25">
      <c r="A298" s="483"/>
      <c r="B298" s="483"/>
      <c r="D298" s="1305"/>
      <c r="E298" s="1305"/>
      <c r="F298" s="1305"/>
      <c r="I298" s="489"/>
    </row>
    <row r="299" spans="1:9">
      <c r="A299" s="489"/>
      <c r="B299" s="489"/>
      <c r="E299" s="445"/>
      <c r="F299" s="445"/>
      <c r="I299" s="489"/>
    </row>
    <row r="300" spans="1:9">
      <c r="A300" s="1312" t="s">
        <v>1050</v>
      </c>
      <c r="B300" s="1312"/>
      <c r="C300" s="1312"/>
      <c r="D300" s="1312"/>
      <c r="E300" s="1312"/>
      <c r="F300" s="1312"/>
      <c r="G300" s="1312"/>
      <c r="H300" s="1027"/>
      <c r="I300" s="1152"/>
    </row>
    <row r="301" spans="1:9">
      <c r="A301" s="489"/>
      <c r="B301" s="489"/>
      <c r="D301" s="445"/>
      <c r="E301" s="445"/>
      <c r="F301" s="445"/>
      <c r="I301" s="489"/>
    </row>
    <row r="302" spans="1:9">
      <c r="C302" s="489"/>
      <c r="D302" s="1313" t="s">
        <v>683</v>
      </c>
      <c r="E302" s="1313"/>
      <c r="F302" s="1313"/>
      <c r="I302" s="489"/>
    </row>
    <row r="303" spans="1:9">
      <c r="C303" s="489"/>
      <c r="D303" s="1303" t="s">
        <v>1129</v>
      </c>
      <c r="E303" s="1303"/>
      <c r="F303" s="1303"/>
      <c r="I303" s="489"/>
    </row>
    <row r="304" spans="1:9">
      <c r="C304" s="489"/>
      <c r="D304" s="492"/>
      <c r="I304" s="489"/>
    </row>
    <row r="305" spans="1:9">
      <c r="B305" s="484" t="s">
        <v>2671</v>
      </c>
      <c r="D305" s="1303" t="s">
        <v>1130</v>
      </c>
      <c r="E305" s="1303"/>
      <c r="F305" s="1303"/>
      <c r="I305" s="489"/>
    </row>
    <row r="306" spans="1:9" ht="14.25">
      <c r="A306" s="483"/>
      <c r="B306" s="483"/>
      <c r="D306" s="493"/>
      <c r="E306" s="494"/>
      <c r="F306" s="494"/>
      <c r="I306" s="489"/>
    </row>
    <row r="307" spans="1:9" ht="13.7" customHeight="1">
      <c r="B307" s="484" t="s">
        <v>2671</v>
      </c>
      <c r="D307" s="1314" t="s">
        <v>1220</v>
      </c>
      <c r="E307" s="1314"/>
      <c r="F307" s="1314"/>
      <c r="I307" s="489"/>
    </row>
    <row r="308" spans="1:9" ht="14.25">
      <c r="A308" s="483"/>
      <c r="B308" s="483"/>
      <c r="D308" s="1314"/>
      <c r="E308" s="1314"/>
      <c r="F308" s="1314"/>
      <c r="I308" s="489"/>
    </row>
    <row r="309" spans="1:9" ht="14.25">
      <c r="A309" s="483"/>
      <c r="B309" s="483"/>
      <c r="D309" s="1314"/>
      <c r="E309" s="1314"/>
      <c r="F309" s="1314"/>
      <c r="I309" s="489"/>
    </row>
    <row r="310" spans="1:9" ht="14.25">
      <c r="A310" s="483"/>
      <c r="B310" s="483"/>
      <c r="D310" s="1314"/>
      <c r="E310" s="1314"/>
      <c r="F310" s="1314"/>
      <c r="I310" s="489"/>
    </row>
    <row r="311" spans="1:9" ht="14.25">
      <c r="A311" s="483"/>
      <c r="B311" s="483"/>
      <c r="D311" s="1314"/>
      <c r="E311" s="1314"/>
      <c r="F311" s="1314"/>
      <c r="I311" s="489"/>
    </row>
    <row r="312" spans="1:9" ht="14.25">
      <c r="A312" s="483"/>
      <c r="B312" s="483"/>
      <c r="D312" s="493"/>
      <c r="E312" s="494"/>
      <c r="F312" s="494"/>
      <c r="I312" s="489"/>
    </row>
    <row r="313" spans="1:9" ht="13.7" customHeight="1">
      <c r="B313" s="484" t="s">
        <v>2671</v>
      </c>
      <c r="D313" s="1314" t="s">
        <v>1131</v>
      </c>
      <c r="E313" s="1314"/>
      <c r="F313" s="1314"/>
      <c r="I313" s="489"/>
    </row>
    <row r="314" spans="1:9">
      <c r="D314" s="1314"/>
      <c r="E314" s="1314"/>
      <c r="F314" s="1314"/>
      <c r="I314" s="489"/>
    </row>
    <row r="315" spans="1:9" ht="14.25">
      <c r="A315" s="483"/>
      <c r="B315" s="483"/>
      <c r="D315" s="493"/>
      <c r="E315" s="494"/>
      <c r="F315" s="494"/>
      <c r="I315" s="489"/>
    </row>
    <row r="316" spans="1:9">
      <c r="B316" s="484" t="s">
        <v>2671</v>
      </c>
      <c r="D316" s="1303" t="s">
        <v>1132</v>
      </c>
      <c r="E316" s="1303"/>
      <c r="F316" s="1303"/>
      <c r="I316" s="489"/>
    </row>
    <row r="317" spans="1:9">
      <c r="E317" s="445"/>
      <c r="F317" s="445"/>
      <c r="I317" s="489"/>
    </row>
    <row r="318" spans="1:9" ht="14.25">
      <c r="A318" s="483"/>
      <c r="B318" s="484" t="s">
        <v>2671</v>
      </c>
      <c r="D318" s="1305" t="s">
        <v>2247</v>
      </c>
      <c r="E318" s="1305"/>
      <c r="F318" s="1305"/>
      <c r="I318" s="489"/>
    </row>
    <row r="319" spans="1:9" ht="14.25">
      <c r="A319" s="483"/>
      <c r="B319" s="483"/>
      <c r="D319" s="1305"/>
      <c r="E319" s="1305"/>
      <c r="F319" s="1305"/>
      <c r="I319" s="489"/>
    </row>
    <row r="320" spans="1:9" ht="14.25">
      <c r="A320" s="483"/>
      <c r="B320" s="483"/>
      <c r="D320" s="1305"/>
      <c r="E320" s="1305"/>
      <c r="F320" s="1305"/>
      <c r="I320" s="489"/>
    </row>
    <row r="321" spans="1:9" ht="14.25">
      <c r="A321" s="483"/>
      <c r="B321" s="483"/>
      <c r="D321" s="1305"/>
      <c r="E321" s="1305"/>
      <c r="F321" s="1305"/>
      <c r="I321" s="489"/>
    </row>
    <row r="322" spans="1:9" ht="14.25">
      <c r="A322" s="483"/>
      <c r="B322" s="483"/>
      <c r="D322" s="1305"/>
      <c r="E322" s="1305"/>
      <c r="F322" s="1305"/>
      <c r="I322" s="489"/>
    </row>
    <row r="323" spans="1:9" ht="14.25">
      <c r="A323" s="483"/>
      <c r="B323" s="483"/>
      <c r="D323" s="1305"/>
      <c r="E323" s="1305"/>
      <c r="F323" s="1305"/>
      <c r="I323" s="489"/>
    </row>
    <row r="324" spans="1:9" ht="14.25">
      <c r="A324" s="483"/>
      <c r="B324" s="483"/>
      <c r="D324" s="1305"/>
      <c r="E324" s="1305"/>
      <c r="F324" s="1305"/>
      <c r="I324" s="489"/>
    </row>
    <row r="325" spans="1:9" ht="14.25">
      <c r="A325" s="483"/>
      <c r="B325" s="483"/>
      <c r="D325" s="1305"/>
      <c r="E325" s="1305"/>
      <c r="F325" s="1305"/>
      <c r="I325" s="489"/>
    </row>
    <row r="326" spans="1:9" ht="14.25">
      <c r="A326" s="483"/>
      <c r="B326" s="483"/>
      <c r="D326" s="1305"/>
      <c r="E326" s="1305"/>
      <c r="F326" s="1305"/>
      <c r="I326" s="489"/>
    </row>
    <row r="327" spans="1:9" ht="14.25">
      <c r="A327" s="483"/>
      <c r="B327" s="483"/>
      <c r="D327" s="1305"/>
      <c r="E327" s="1305"/>
      <c r="F327" s="1305"/>
      <c r="I327" s="489"/>
    </row>
    <row r="328" spans="1:9" ht="14.25">
      <c r="A328" s="483"/>
      <c r="B328" s="483"/>
      <c r="D328" s="1305"/>
      <c r="E328" s="1305"/>
      <c r="F328" s="1305"/>
      <c r="I328" s="489"/>
    </row>
    <row r="329" spans="1:9" ht="14.25">
      <c r="A329" s="483"/>
      <c r="B329" s="483"/>
      <c r="D329" s="1305"/>
      <c r="E329" s="1305"/>
      <c r="F329" s="1305"/>
      <c r="I329" s="489"/>
    </row>
    <row r="330" spans="1:9" ht="14.25">
      <c r="A330" s="483"/>
      <c r="B330" s="483"/>
      <c r="D330" s="1305"/>
      <c r="E330" s="1305"/>
      <c r="F330" s="1305"/>
      <c r="I330" s="489"/>
    </row>
    <row r="331" spans="1:9" ht="14.25">
      <c r="A331" s="483"/>
      <c r="B331" s="483"/>
      <c r="D331" s="1305"/>
      <c r="E331" s="1305"/>
      <c r="F331" s="1305"/>
      <c r="I331" s="489"/>
    </row>
    <row r="332" spans="1:9" ht="14.25">
      <c r="A332" s="483"/>
      <c r="B332" s="483"/>
      <c r="D332" s="1305"/>
      <c r="E332" s="1305"/>
      <c r="F332" s="1305"/>
      <c r="I332" s="489"/>
    </row>
    <row r="333" spans="1:9">
      <c r="D333" s="445"/>
      <c r="E333" s="445"/>
      <c r="F333" s="445"/>
      <c r="I333" s="489"/>
    </row>
    <row r="334" spans="1:9" ht="14.25">
      <c r="A334" s="483"/>
      <c r="B334" s="484" t="s">
        <v>2671</v>
      </c>
      <c r="D334" s="1305" t="s">
        <v>1133</v>
      </c>
      <c r="E334" s="1305"/>
      <c r="F334" s="1305"/>
      <c r="I334" s="489"/>
    </row>
    <row r="335" spans="1:9">
      <c r="D335" s="1305"/>
      <c r="E335" s="1305"/>
      <c r="F335" s="1305"/>
      <c r="I335" s="489"/>
    </row>
    <row r="336" spans="1:9">
      <c r="D336" s="1305"/>
      <c r="E336" s="1305"/>
      <c r="F336" s="1305"/>
      <c r="I336" s="489"/>
    </row>
    <row r="337" spans="1:9">
      <c r="D337" s="1305"/>
      <c r="E337" s="1305"/>
      <c r="F337" s="1305"/>
      <c r="I337" s="489"/>
    </row>
    <row r="338" spans="1:9">
      <c r="D338" s="1305"/>
      <c r="E338" s="1305"/>
      <c r="F338" s="1305"/>
      <c r="I338" s="489"/>
    </row>
    <row r="339" spans="1:9">
      <c r="D339" s="1305"/>
      <c r="E339" s="1305"/>
      <c r="F339" s="1305"/>
      <c r="I339" s="489"/>
    </row>
    <row r="340" spans="1:9">
      <c r="D340" s="1305"/>
      <c r="E340" s="1305"/>
      <c r="F340" s="1305"/>
      <c r="I340" s="489"/>
    </row>
    <row r="341" spans="1:9">
      <c r="D341" s="1305"/>
      <c r="E341" s="1305"/>
      <c r="F341" s="1305"/>
      <c r="I341" s="489"/>
    </row>
    <row r="342" spans="1:9">
      <c r="D342" s="1305"/>
      <c r="E342" s="1305"/>
      <c r="F342" s="1305"/>
      <c r="I342" s="489"/>
    </row>
    <row r="343" spans="1:9">
      <c r="D343" s="445"/>
      <c r="E343" s="445"/>
      <c r="F343" s="445"/>
      <c r="I343" s="489"/>
    </row>
    <row r="344" spans="1:9" ht="14.25" customHeight="1">
      <c r="A344" s="483"/>
      <c r="B344" s="484" t="s">
        <v>2671</v>
      </c>
      <c r="D344" s="1305" t="s">
        <v>1904</v>
      </c>
      <c r="E344" s="1305"/>
      <c r="F344" s="1305"/>
      <c r="I344" s="489"/>
    </row>
    <row r="345" spans="1:9">
      <c r="D345" s="1305"/>
      <c r="E345" s="1305"/>
      <c r="F345" s="1305"/>
      <c r="I345" s="489"/>
    </row>
    <row r="346" spans="1:9">
      <c r="D346" s="1305"/>
      <c r="E346" s="1305"/>
      <c r="F346" s="1305"/>
      <c r="I346" s="489"/>
    </row>
    <row r="347" spans="1:9">
      <c r="D347" s="1305"/>
      <c r="E347" s="1305"/>
      <c r="F347" s="1305"/>
      <c r="I347" s="489"/>
    </row>
    <row r="348" spans="1:9">
      <c r="D348" s="385" t="s">
        <v>1903</v>
      </c>
      <c r="E348" s="384"/>
      <c r="F348" s="384"/>
      <c r="I348" s="489"/>
    </row>
    <row r="349" spans="1:9">
      <c r="D349" s="384"/>
      <c r="E349" s="96" t="s">
        <v>1900</v>
      </c>
      <c r="G349" s="96"/>
      <c r="I349" s="489"/>
    </row>
    <row r="350" spans="1:9">
      <c r="D350" s="444"/>
      <c r="E350" s="444"/>
      <c r="F350" s="444"/>
      <c r="I350" s="489"/>
    </row>
    <row r="351" spans="1:9" ht="13.5" thickBot="1">
      <c r="A351" s="1021"/>
      <c r="B351" s="1021"/>
      <c r="C351" s="1021"/>
      <c r="D351" s="1333" t="s">
        <v>980</v>
      </c>
      <c r="E351" s="1333"/>
      <c r="F351" s="1333"/>
      <c r="G351" s="1026"/>
      <c r="H351" s="1026"/>
      <c r="I351" s="1155"/>
    </row>
    <row r="352" spans="1:9" ht="13.5" thickTop="1">
      <c r="D352" s="1332" t="s">
        <v>2248</v>
      </c>
      <c r="E352" s="1332"/>
      <c r="F352" s="1332"/>
      <c r="I352" s="489"/>
    </row>
    <row r="353" spans="1:9">
      <c r="D353" s="445"/>
      <c r="E353" s="445"/>
      <c r="F353" s="445"/>
      <c r="I353" s="489"/>
    </row>
    <row r="354" spans="1:9">
      <c r="A354" s="475"/>
      <c r="B354" s="475"/>
      <c r="C354" s="475"/>
      <c r="D354" s="446"/>
      <c r="E354" s="446"/>
      <c r="F354" s="445"/>
      <c r="I354" s="489"/>
    </row>
    <row r="355" spans="1:9" ht="14.25">
      <c r="A355" s="483"/>
      <c r="B355" s="484" t="s">
        <v>2671</v>
      </c>
      <c r="C355" s="486"/>
      <c r="D355" s="1303" t="s">
        <v>1902</v>
      </c>
      <c r="E355" s="1303"/>
      <c r="F355" s="1303"/>
      <c r="I355" s="489"/>
    </row>
    <row r="356" spans="1:9" ht="12.75" customHeight="1">
      <c r="D356" s="1036"/>
      <c r="E356" s="96" t="s">
        <v>1901</v>
      </c>
      <c r="F356" s="1036"/>
      <c r="I356" s="489"/>
    </row>
    <row r="357" spans="1:9">
      <c r="D357" s="1305" t="s">
        <v>1240</v>
      </c>
      <c r="E357" s="1305"/>
      <c r="F357" s="1305"/>
      <c r="I357" s="489"/>
    </row>
    <row r="358" spans="1:9">
      <c r="D358" s="1305"/>
      <c r="E358" s="1305"/>
      <c r="F358" s="1305"/>
      <c r="I358" s="489"/>
    </row>
    <row r="359" spans="1:9">
      <c r="D359" s="1305"/>
      <c r="E359" s="1305"/>
      <c r="F359" s="1305"/>
      <c r="I359" s="489"/>
    </row>
    <row r="360" spans="1:9" ht="14.25">
      <c r="A360" s="483"/>
      <c r="B360" s="484" t="s">
        <v>2671</v>
      </c>
      <c r="C360" s="475"/>
      <c r="D360" s="1322" t="s">
        <v>2058</v>
      </c>
      <c r="E360" s="1322"/>
      <c r="F360" s="1322"/>
      <c r="I360" s="479"/>
    </row>
    <row r="361" spans="1:9">
      <c r="A361" s="475"/>
      <c r="B361" s="475"/>
      <c r="C361" s="475"/>
      <c r="D361" s="446"/>
      <c r="E361" s="446"/>
      <c r="F361" s="445"/>
      <c r="I361" s="489"/>
    </row>
    <row r="362" spans="1:9">
      <c r="A362" s="475"/>
      <c r="B362" s="484" t="s">
        <v>2671</v>
      </c>
      <c r="C362" s="475"/>
      <c r="D362" s="1276" t="s">
        <v>2059</v>
      </c>
      <c r="E362" s="1276"/>
      <c r="F362" s="1276"/>
      <c r="I362" s="489"/>
    </row>
    <row r="363" spans="1:9">
      <c r="A363" s="475"/>
      <c r="B363" s="475"/>
      <c r="C363" s="475"/>
      <c r="D363" s="1276"/>
      <c r="E363" s="1276"/>
      <c r="F363" s="1276"/>
      <c r="I363" s="489"/>
    </row>
    <row r="364" spans="1:9">
      <c r="A364" s="475"/>
      <c r="B364" s="475"/>
      <c r="C364" s="475"/>
      <c r="D364" s="1276"/>
      <c r="E364" s="1276"/>
      <c r="F364" s="1276"/>
      <c r="I364" s="489"/>
    </row>
    <row r="365" spans="1:9">
      <c r="A365" s="475"/>
      <c r="B365" s="475"/>
      <c r="C365" s="475"/>
      <c r="D365" s="1276"/>
      <c r="E365" s="1276"/>
      <c r="F365" s="1276"/>
      <c r="I365" s="489"/>
    </row>
    <row r="366" spans="1:9">
      <c r="A366" s="475"/>
      <c r="B366" s="475"/>
      <c r="C366" s="475"/>
      <c r="D366" s="1276"/>
      <c r="E366" s="1276"/>
      <c r="F366" s="1276"/>
      <c r="I366" s="489"/>
    </row>
    <row r="367" spans="1:9">
      <c r="A367" s="475"/>
      <c r="B367" s="475"/>
      <c r="C367" s="475"/>
      <c r="D367" s="1276"/>
      <c r="E367" s="1276"/>
      <c r="F367" s="1276"/>
      <c r="I367" s="489"/>
    </row>
    <row r="368" spans="1:9">
      <c r="A368" s="475"/>
      <c r="B368" s="475"/>
      <c r="C368" s="475"/>
      <c r="D368" s="1276"/>
      <c r="E368" s="1276"/>
      <c r="F368" s="1276"/>
      <c r="I368" s="489"/>
    </row>
    <row r="369" spans="1:9">
      <c r="A369" s="475"/>
      <c r="B369" s="475"/>
      <c r="C369" s="475"/>
      <c r="D369" s="1276"/>
      <c r="E369" s="1276"/>
      <c r="F369" s="1276"/>
      <c r="I369" s="489"/>
    </row>
    <row r="370" spans="1:9">
      <c r="A370" s="475"/>
      <c r="B370" s="475"/>
      <c r="C370" s="475"/>
      <c r="D370" s="1276"/>
      <c r="E370" s="1276"/>
      <c r="F370" s="1276"/>
      <c r="I370" s="489"/>
    </row>
    <row r="371" spans="1:9">
      <c r="A371" s="475"/>
      <c r="B371" s="475"/>
      <c r="C371" s="475"/>
      <c r="D371" s="1276"/>
      <c r="E371" s="1276"/>
      <c r="F371" s="1276"/>
      <c r="I371" s="489"/>
    </row>
    <row r="372" spans="1:9">
      <c r="A372" s="475"/>
      <c r="B372" s="475"/>
      <c r="C372" s="475"/>
      <c r="D372" s="1276"/>
      <c r="E372" s="1276"/>
      <c r="F372" s="1276"/>
      <c r="I372" s="489"/>
    </row>
    <row r="373" spans="1:9">
      <c r="A373" s="475"/>
      <c r="B373" s="475"/>
      <c r="C373" s="475"/>
      <c r="D373" s="1276"/>
      <c r="E373" s="1276"/>
      <c r="F373" s="1276"/>
      <c r="I373" s="489"/>
    </row>
    <row r="374" spans="1:9">
      <c r="A374" s="475"/>
      <c r="B374" s="475"/>
      <c r="C374" s="475"/>
      <c r="D374" s="450"/>
      <c r="E374" s="450"/>
      <c r="F374" s="450"/>
      <c r="I374" s="489"/>
    </row>
    <row r="375" spans="1:9" ht="12.6" customHeight="1">
      <c r="A375" s="475"/>
      <c r="B375" s="484" t="s">
        <v>2671</v>
      </c>
      <c r="C375" s="475"/>
      <c r="D375" s="1284" t="s">
        <v>1222</v>
      </c>
      <c r="E375" s="1284"/>
      <c r="F375" s="1284"/>
      <c r="I375" s="489"/>
    </row>
    <row r="376" spans="1:9">
      <c r="A376" s="475"/>
      <c r="B376" s="475"/>
      <c r="C376" s="475"/>
      <c r="D376" s="1284"/>
      <c r="E376" s="1284"/>
      <c r="F376" s="1284"/>
      <c r="I376" s="489"/>
    </row>
    <row r="377" spans="1:9">
      <c r="A377" s="475"/>
      <c r="B377" s="475"/>
      <c r="C377" s="475"/>
      <c r="D377" s="1284"/>
      <c r="E377" s="1284"/>
      <c r="F377" s="1284"/>
      <c r="I377" s="489"/>
    </row>
    <row r="378" spans="1:9">
      <c r="A378" s="475"/>
      <c r="B378" s="475"/>
      <c r="C378" s="475"/>
      <c r="D378" s="1284"/>
      <c r="E378" s="1284"/>
      <c r="F378" s="1284"/>
      <c r="I378" s="489"/>
    </row>
    <row r="379" spans="1:9">
      <c r="A379" s="475"/>
      <c r="B379" s="475"/>
      <c r="C379" s="475"/>
      <c r="D379" s="523"/>
      <c r="E379" s="523"/>
      <c r="F379" s="523"/>
      <c r="I379" s="489"/>
    </row>
    <row r="380" spans="1:9">
      <c r="A380" s="475"/>
      <c r="B380" s="484" t="s">
        <v>2671</v>
      </c>
      <c r="C380" s="475"/>
      <c r="D380" s="401" t="s">
        <v>1835</v>
      </c>
      <c r="E380" s="523"/>
      <c r="F380" s="523"/>
      <c r="I380" s="489"/>
    </row>
    <row r="381" spans="1:9">
      <c r="A381" s="475"/>
      <c r="B381" s="475"/>
      <c r="C381" s="475"/>
      <c r="D381" s="401" t="s">
        <v>1836</v>
      </c>
      <c r="E381" s="523"/>
      <c r="F381" s="523"/>
      <c r="I381" s="489"/>
    </row>
    <row r="382" spans="1:9">
      <c r="A382" s="475"/>
      <c r="B382" s="475"/>
      <c r="C382" s="475"/>
      <c r="D382" s="401" t="s">
        <v>1837</v>
      </c>
      <c r="E382" s="523"/>
      <c r="F382" s="523"/>
      <c r="I382" s="489"/>
    </row>
    <row r="383" spans="1:9">
      <c r="A383" s="475"/>
      <c r="B383" s="475"/>
      <c r="C383" s="475"/>
      <c r="D383" s="401" t="s">
        <v>1838</v>
      </c>
      <c r="E383" s="523"/>
      <c r="F383" s="523"/>
      <c r="I383" s="489"/>
    </row>
    <row r="384" spans="1:9">
      <c r="A384" s="475"/>
      <c r="B384" s="475"/>
      <c r="C384" s="475"/>
      <c r="D384" s="401" t="s">
        <v>1839</v>
      </c>
      <c r="E384" s="523"/>
      <c r="F384" s="523"/>
      <c r="I384" s="489"/>
    </row>
    <row r="385" spans="1:9">
      <c r="A385" s="475"/>
      <c r="B385" s="475"/>
      <c r="C385" s="475"/>
      <c r="D385" s="401" t="s">
        <v>1840</v>
      </c>
      <c r="E385" s="523"/>
      <c r="F385" s="523"/>
      <c r="I385" s="489"/>
    </row>
    <row r="386" spans="1:9">
      <c r="A386" s="475"/>
      <c r="B386" s="475"/>
      <c r="C386" s="475"/>
      <c r="E386" s="446"/>
      <c r="F386" s="445"/>
      <c r="I386" s="489"/>
    </row>
    <row r="387" spans="1:9" ht="14.25">
      <c r="A387" s="483"/>
      <c r="B387" s="484" t="s">
        <v>2671</v>
      </c>
      <c r="C387" s="475"/>
      <c r="D387" s="1276" t="s">
        <v>1134</v>
      </c>
      <c r="E387" s="1276"/>
      <c r="F387" s="1276"/>
      <c r="I387" s="489"/>
    </row>
    <row r="388" spans="1:9">
      <c r="A388" s="475"/>
      <c r="B388" s="475"/>
      <c r="C388" s="475"/>
      <c r="D388" s="1276"/>
      <c r="E388" s="1276"/>
      <c r="F388" s="1276"/>
      <c r="I388" s="489"/>
    </row>
    <row r="389" spans="1:9">
      <c r="A389" s="475"/>
      <c r="B389" s="475"/>
      <c r="C389" s="475"/>
      <c r="D389" s="1276"/>
      <c r="E389" s="1276"/>
      <c r="F389" s="1276"/>
      <c r="I389" s="489"/>
    </row>
    <row r="390" spans="1:9">
      <c r="A390" s="475"/>
      <c r="B390" s="475"/>
      <c r="C390" s="475"/>
      <c r="D390" s="1276"/>
      <c r="E390" s="1276"/>
      <c r="F390" s="1276"/>
      <c r="I390" s="489"/>
    </row>
    <row r="391" spans="1:9">
      <c r="A391" s="475"/>
      <c r="B391" s="475"/>
      <c r="C391" s="475"/>
      <c r="D391" s="446"/>
      <c r="E391" s="446"/>
      <c r="F391" s="445"/>
      <c r="I391" s="489"/>
    </row>
    <row r="392" spans="1:9">
      <c r="A392" s="475"/>
      <c r="B392" s="475"/>
      <c r="C392" s="475"/>
      <c r="D392" s="1276" t="s">
        <v>1135</v>
      </c>
      <c r="E392" s="1276"/>
      <c r="F392" s="1276"/>
      <c r="I392" s="489"/>
    </row>
    <row r="393" spans="1:9">
      <c r="A393" s="475"/>
      <c r="B393" s="475"/>
      <c r="C393" s="475"/>
      <c r="D393" s="1276"/>
      <c r="E393" s="1276"/>
      <c r="F393" s="1276"/>
      <c r="I393" s="489"/>
    </row>
    <row r="394" spans="1:9">
      <c r="A394" s="475"/>
      <c r="B394" s="475"/>
      <c r="C394" s="475"/>
      <c r="D394" s="1276"/>
      <c r="E394" s="1276"/>
      <c r="F394" s="1276"/>
      <c r="I394" s="489"/>
    </row>
    <row r="395" spans="1:9">
      <c r="A395" s="475"/>
      <c r="B395" s="475"/>
      <c r="C395" s="475"/>
      <c r="D395" s="1276"/>
      <c r="E395" s="1276"/>
      <c r="F395" s="1276"/>
      <c r="I395" s="489"/>
    </row>
    <row r="396" spans="1:9" ht="18" customHeight="1">
      <c r="A396" s="475"/>
      <c r="B396" s="475"/>
      <c r="C396" s="475"/>
      <c r="D396" s="1276"/>
      <c r="E396" s="1276"/>
      <c r="F396" s="1276"/>
      <c r="I396" s="489"/>
    </row>
    <row r="397" spans="1:9">
      <c r="A397" s="475"/>
      <c r="B397" s="475"/>
      <c r="C397" s="475"/>
      <c r="D397" s="1276"/>
      <c r="E397" s="1276"/>
      <c r="F397" s="1276"/>
      <c r="I397" s="489"/>
    </row>
    <row r="398" spans="1:9">
      <c r="A398" s="475"/>
      <c r="B398" s="475"/>
      <c r="C398" s="475"/>
      <c r="D398" s="1276"/>
      <c r="E398" s="1276"/>
      <c r="F398" s="1276"/>
      <c r="I398" s="489"/>
    </row>
    <row r="399" spans="1:9">
      <c r="A399" s="475"/>
      <c r="B399" s="475"/>
      <c r="C399" s="475"/>
      <c r="D399" s="1276"/>
      <c r="E399" s="1276"/>
      <c r="F399" s="1276"/>
      <c r="I399" s="489"/>
    </row>
    <row r="400" spans="1:9" ht="8.25" customHeight="1">
      <c r="A400" s="475"/>
      <c r="B400" s="475"/>
      <c r="C400" s="475"/>
      <c r="D400" s="1276"/>
      <c r="E400" s="1276"/>
      <c r="F400" s="1276"/>
      <c r="I400" s="489"/>
    </row>
    <row r="401" spans="1:9" ht="13.7" customHeight="1">
      <c r="A401" s="475"/>
      <c r="B401" s="475"/>
      <c r="C401" s="475"/>
      <c r="D401" s="1276" t="s">
        <v>1136</v>
      </c>
      <c r="E401" s="1276"/>
      <c r="F401" s="1276"/>
      <c r="I401" s="489"/>
    </row>
    <row r="402" spans="1:9">
      <c r="A402" s="475"/>
      <c r="B402" s="475"/>
      <c r="C402" s="475"/>
      <c r="D402" s="1276"/>
      <c r="E402" s="1276"/>
      <c r="F402" s="1276"/>
      <c r="I402" s="489"/>
    </row>
    <row r="403" spans="1:9">
      <c r="A403" s="475"/>
      <c r="B403" s="475"/>
      <c r="C403" s="475"/>
      <c r="D403" s="1276"/>
      <c r="E403" s="1276"/>
      <c r="F403" s="1276"/>
      <c r="I403" s="489"/>
    </row>
    <row r="404" spans="1:9">
      <c r="A404" s="475"/>
      <c r="B404" s="475"/>
      <c r="C404" s="475"/>
      <c r="D404" s="1276"/>
      <c r="E404" s="1276"/>
      <c r="F404" s="1276"/>
      <c r="I404" s="489"/>
    </row>
    <row r="405" spans="1:9">
      <c r="A405" s="475"/>
      <c r="B405" s="475"/>
      <c r="C405" s="475"/>
      <c r="D405" s="1276"/>
      <c r="E405" s="1276"/>
      <c r="F405" s="1276"/>
      <c r="I405" s="489"/>
    </row>
    <row r="406" spans="1:9">
      <c r="A406" s="475"/>
      <c r="B406" s="475"/>
      <c r="C406" s="475"/>
      <c r="D406" s="1276"/>
      <c r="E406" s="1276"/>
      <c r="F406" s="1276"/>
      <c r="I406" s="489"/>
    </row>
    <row r="407" spans="1:9">
      <c r="A407" s="475"/>
      <c r="B407" s="475"/>
      <c r="C407" s="475"/>
      <c r="D407" s="1276"/>
      <c r="E407" s="1276"/>
      <c r="F407" s="1276"/>
      <c r="I407" s="489"/>
    </row>
    <row r="408" spans="1:9">
      <c r="A408" s="475"/>
      <c r="B408" s="475"/>
      <c r="C408" s="475"/>
      <c r="D408" s="1276"/>
      <c r="E408" s="1276"/>
      <c r="F408" s="1276"/>
      <c r="I408" s="489"/>
    </row>
    <row r="409" spans="1:9">
      <c r="A409" s="475"/>
      <c r="B409" s="475"/>
      <c r="C409" s="475"/>
      <c r="D409" s="1276"/>
      <c r="E409" s="1276"/>
      <c r="F409" s="1276"/>
      <c r="I409" s="489"/>
    </row>
    <row r="410" spans="1:9">
      <c r="A410" s="475"/>
      <c r="B410" s="475"/>
      <c r="C410" s="475"/>
      <c r="D410" s="1276"/>
      <c r="E410" s="1276"/>
      <c r="F410" s="1276"/>
      <c r="I410" s="489"/>
    </row>
    <row r="411" spans="1:9">
      <c r="A411" s="475"/>
      <c r="B411" s="475"/>
      <c r="C411" s="475"/>
      <c r="D411" s="1276"/>
      <c r="E411" s="1276"/>
      <c r="F411" s="1276"/>
      <c r="I411" s="489"/>
    </row>
    <row r="412" spans="1:9">
      <c r="A412" s="475"/>
      <c r="B412" s="475"/>
      <c r="C412" s="475"/>
      <c r="D412" s="1276"/>
      <c r="E412" s="1276"/>
      <c r="F412" s="1276"/>
      <c r="I412" s="489"/>
    </row>
    <row r="413" spans="1:9">
      <c r="A413" s="475"/>
      <c r="B413" s="475"/>
      <c r="C413" s="495"/>
      <c r="D413" s="1276"/>
      <c r="E413" s="1276"/>
      <c r="F413" s="1276"/>
      <c r="I413" s="489"/>
    </row>
    <row r="414" spans="1:9">
      <c r="A414" s="475"/>
      <c r="B414" s="475"/>
      <c r="C414" s="495"/>
      <c r="D414" s="1276"/>
      <c r="E414" s="1276"/>
      <c r="F414" s="1276"/>
      <c r="I414" s="489"/>
    </row>
    <row r="415" spans="1:9">
      <c r="A415" s="475"/>
      <c r="B415" s="475"/>
      <c r="C415" s="475"/>
      <c r="D415" s="1276"/>
      <c r="E415" s="1276"/>
      <c r="F415" s="1276"/>
      <c r="I415" s="489"/>
    </row>
    <row r="416" spans="1:9">
      <c r="A416" s="475"/>
      <c r="B416" s="475"/>
      <c r="C416" s="495"/>
      <c r="D416" s="1276"/>
      <c r="E416" s="1276"/>
      <c r="F416" s="1276"/>
      <c r="I416" s="489"/>
    </row>
    <row r="417" spans="1:9">
      <c r="A417" s="475"/>
      <c r="B417" s="475"/>
      <c r="C417" s="495"/>
      <c r="D417" s="1276"/>
      <c r="E417" s="1276"/>
      <c r="F417" s="1276"/>
      <c r="I417" s="489"/>
    </row>
    <row r="418" spans="1:9">
      <c r="A418" s="475"/>
      <c r="B418" s="475"/>
      <c r="C418" s="495"/>
      <c r="D418" s="1276"/>
      <c r="E418" s="1276"/>
      <c r="F418" s="1276"/>
      <c r="I418" s="489"/>
    </row>
    <row r="419" spans="1:9">
      <c r="A419" s="475"/>
      <c r="B419" s="475"/>
      <c r="C419" s="475"/>
      <c r="D419" s="446"/>
      <c r="E419" s="446"/>
      <c r="F419" s="445"/>
      <c r="I419" s="489"/>
    </row>
    <row r="420" spans="1:9">
      <c r="A420" s="475"/>
      <c r="B420" s="484" t="s">
        <v>2671</v>
      </c>
      <c r="C420" s="475"/>
      <c r="D420" s="1276" t="s">
        <v>1137</v>
      </c>
      <c r="E420" s="1276"/>
      <c r="F420" s="1276"/>
      <c r="I420" s="489"/>
    </row>
    <row r="421" spans="1:9">
      <c r="A421" s="475"/>
      <c r="B421" s="475"/>
      <c r="C421" s="475"/>
      <c r="D421" s="1276"/>
      <c r="E421" s="1276"/>
      <c r="F421" s="1276"/>
      <c r="I421" s="489"/>
    </row>
    <row r="422" spans="1:9">
      <c r="A422" s="475"/>
      <c r="B422" s="475"/>
      <c r="C422" s="475"/>
      <c r="D422" s="450"/>
      <c r="E422" s="450"/>
      <c r="F422" s="450"/>
      <c r="I422" s="489"/>
    </row>
    <row r="423" spans="1:9" ht="14.45" customHeight="1">
      <c r="A423" s="483"/>
      <c r="B423" s="484" t="s">
        <v>2671</v>
      </c>
      <c r="D423" s="1276" t="s">
        <v>1883</v>
      </c>
      <c r="E423" s="1276"/>
      <c r="F423" s="1276"/>
      <c r="I423" s="489"/>
    </row>
    <row r="424" spans="1:9" ht="14.45" customHeight="1">
      <c r="A424" s="483"/>
      <c r="D424" s="1276"/>
      <c r="E424" s="1276"/>
      <c r="F424" s="1276"/>
      <c r="I424" s="489"/>
    </row>
    <row r="425" spans="1:9" ht="14.45" customHeight="1">
      <c r="A425" s="483"/>
      <c r="D425" s="1276"/>
      <c r="E425" s="1276"/>
      <c r="F425" s="1276"/>
      <c r="I425" s="489"/>
    </row>
    <row r="426" spans="1:9" ht="14.45" customHeight="1">
      <c r="A426" s="483"/>
      <c r="D426" s="1276"/>
      <c r="E426" s="1276"/>
      <c r="F426" s="1276"/>
      <c r="I426" s="489"/>
    </row>
    <row r="427" spans="1:9" ht="14.45" customHeight="1">
      <c r="A427" s="483"/>
      <c r="D427" s="1276"/>
      <c r="E427" s="1276"/>
      <c r="F427" s="1276"/>
      <c r="I427" s="489"/>
    </row>
    <row r="428" spans="1:9" ht="14.45" customHeight="1">
      <c r="A428" s="483"/>
      <c r="D428" s="384"/>
      <c r="E428" s="384"/>
      <c r="F428" s="384"/>
      <c r="I428" s="489"/>
    </row>
    <row r="429" spans="1:9" ht="13.7" customHeight="1">
      <c r="A429" s="483"/>
      <c r="B429" s="484" t="s">
        <v>2671</v>
      </c>
      <c r="C429" s="475"/>
      <c r="D429" s="1276" t="s">
        <v>1241</v>
      </c>
      <c r="E429" s="1276"/>
      <c r="F429" s="1276"/>
      <c r="I429" s="489"/>
    </row>
    <row r="430" spans="1:9" ht="14.25">
      <c r="A430" s="496"/>
      <c r="B430" s="496"/>
      <c r="C430" s="475"/>
      <c r="D430" s="1276"/>
      <c r="E430" s="1276"/>
      <c r="F430" s="1276"/>
      <c r="I430" s="489"/>
    </row>
    <row r="431" spans="1:9" ht="14.25">
      <c r="A431" s="496"/>
      <c r="B431" s="496"/>
      <c r="C431" s="475"/>
      <c r="D431" s="1276"/>
      <c r="E431" s="1276"/>
      <c r="F431" s="1276"/>
      <c r="I431" s="489"/>
    </row>
    <row r="432" spans="1:9" ht="14.25">
      <c r="A432" s="496"/>
      <c r="B432" s="496"/>
      <c r="C432" s="475"/>
      <c r="D432" s="1276"/>
      <c r="E432" s="1276"/>
      <c r="F432" s="1276"/>
      <c r="I432" s="489"/>
    </row>
    <row r="433" spans="1:9" ht="15.75" customHeight="1">
      <c r="A433" s="496"/>
      <c r="B433" s="496"/>
      <c r="C433" s="475"/>
      <c r="D433" s="1334" t="s">
        <v>2075</v>
      </c>
      <c r="E433" s="1276"/>
      <c r="F433" s="1276"/>
      <c r="I433" s="489"/>
    </row>
    <row r="434" spans="1:9">
      <c r="D434" s="445"/>
      <c r="E434" s="445"/>
      <c r="F434" s="445"/>
      <c r="I434" s="489"/>
    </row>
    <row r="435" spans="1:9" ht="14.25">
      <c r="A435" s="483"/>
      <c r="B435" s="484" t="s">
        <v>2671</v>
      </c>
      <c r="C435" s="486"/>
      <c r="D435" s="1305" t="s">
        <v>2060</v>
      </c>
      <c r="E435" s="1305"/>
      <c r="F435" s="1305"/>
      <c r="I435" s="489"/>
    </row>
    <row r="436" spans="1:9" ht="14.25">
      <c r="A436" s="483"/>
      <c r="B436" s="483"/>
      <c r="D436" s="1305"/>
      <c r="E436" s="1305"/>
      <c r="F436" s="1305"/>
      <c r="I436" s="489"/>
    </row>
    <row r="437" spans="1:9">
      <c r="D437" s="1305"/>
      <c r="E437" s="1305"/>
      <c r="F437" s="1305"/>
      <c r="I437" s="489"/>
    </row>
    <row r="438" spans="1:9">
      <c r="D438" s="1305"/>
      <c r="E438" s="1305"/>
      <c r="F438" s="1305"/>
      <c r="I438" s="489"/>
    </row>
    <row r="439" spans="1:9">
      <c r="D439" s="1305"/>
      <c r="E439" s="1305"/>
      <c r="F439" s="1305"/>
      <c r="I439" s="489"/>
    </row>
    <row r="440" spans="1:9">
      <c r="D440" s="1305"/>
      <c r="E440" s="1305"/>
      <c r="F440" s="1305"/>
      <c r="I440" s="489"/>
    </row>
    <row r="441" spans="1:9">
      <c r="D441" s="1305"/>
      <c r="E441" s="1305"/>
      <c r="F441" s="1305"/>
      <c r="I441" s="489"/>
    </row>
    <row r="442" spans="1:9">
      <c r="D442" s="1305"/>
      <c r="E442" s="1305"/>
      <c r="F442" s="1305"/>
      <c r="I442" s="489"/>
    </row>
    <row r="443" spans="1:9">
      <c r="D443" s="1305"/>
      <c r="E443" s="1305"/>
      <c r="F443" s="1305"/>
      <c r="I443" s="489"/>
    </row>
    <row r="444" spans="1:9">
      <c r="D444" s="1305"/>
      <c r="E444" s="1305"/>
      <c r="F444" s="1305"/>
      <c r="I444" s="489"/>
    </row>
    <row r="445" spans="1:9">
      <c r="D445" s="1305"/>
      <c r="E445" s="1305"/>
      <c r="F445" s="1305"/>
      <c r="I445" s="489"/>
    </row>
    <row r="446" spans="1:9">
      <c r="D446" s="1305"/>
      <c r="E446" s="1305"/>
      <c r="F446" s="1305"/>
      <c r="I446" s="489"/>
    </row>
    <row r="447" spans="1:9">
      <c r="D447" s="1305"/>
      <c r="E447" s="1305"/>
      <c r="F447" s="1305"/>
      <c r="I447" s="489"/>
    </row>
    <row r="448" spans="1:9">
      <c r="A448" s="401"/>
      <c r="B448" s="401"/>
      <c r="C448" s="401"/>
      <c r="D448" s="1305"/>
      <c r="E448" s="1305"/>
      <c r="F448" s="1305"/>
      <c r="I448" s="489"/>
    </row>
    <row r="449" spans="1:9">
      <c r="A449" s="401"/>
      <c r="B449" s="401"/>
      <c r="C449" s="401"/>
      <c r="D449" s="1305"/>
      <c r="E449" s="1305"/>
      <c r="F449" s="1305"/>
      <c r="I449" s="489"/>
    </row>
    <row r="450" spans="1:9">
      <c r="A450" s="401"/>
      <c r="B450" s="401"/>
      <c r="C450" s="401"/>
      <c r="D450" s="1305"/>
      <c r="E450" s="1305"/>
      <c r="F450" s="1305"/>
      <c r="I450" s="489"/>
    </row>
    <row r="451" spans="1:9">
      <c r="A451" s="401"/>
      <c r="B451" s="401"/>
      <c r="C451" s="401"/>
      <c r="D451" s="1305"/>
      <c r="E451" s="1305"/>
      <c r="F451" s="1305"/>
      <c r="I451" s="489"/>
    </row>
    <row r="452" spans="1:9">
      <c r="A452" s="401"/>
      <c r="B452" s="401"/>
      <c r="C452" s="401"/>
      <c r="D452" s="1305"/>
      <c r="E452" s="1305"/>
      <c r="F452" s="1305"/>
      <c r="I452" s="489"/>
    </row>
    <row r="453" spans="1:9">
      <c r="A453" s="401"/>
      <c r="B453" s="401"/>
      <c r="C453" s="401"/>
      <c r="D453" s="1305"/>
      <c r="E453" s="1305"/>
      <c r="F453" s="1305"/>
      <c r="I453" s="489"/>
    </row>
    <row r="454" spans="1:9">
      <c r="A454" s="401"/>
      <c r="B454" s="401"/>
      <c r="C454" s="401"/>
      <c r="D454" s="1305"/>
      <c r="E454" s="1305"/>
      <c r="F454" s="1305"/>
      <c r="I454" s="489"/>
    </row>
    <row r="455" spans="1:9">
      <c r="A455" s="401"/>
      <c r="B455" s="401"/>
      <c r="C455" s="401"/>
      <c r="D455" s="1305"/>
      <c r="E455" s="1305"/>
      <c r="F455" s="1305"/>
      <c r="I455" s="489"/>
    </row>
    <row r="456" spans="1:9">
      <c r="A456" s="401"/>
      <c r="B456" s="401"/>
      <c r="C456" s="401"/>
      <c r="D456" s="1305"/>
      <c r="E456" s="1305"/>
      <c r="F456" s="1305"/>
      <c r="I456" s="489"/>
    </row>
    <row r="457" spans="1:9">
      <c r="A457" s="401"/>
      <c r="B457" s="401"/>
      <c r="C457" s="401"/>
      <c r="D457" s="1305"/>
      <c r="E457" s="1305"/>
      <c r="F457" s="1305"/>
      <c r="I457" s="489"/>
    </row>
    <row r="458" spans="1:9">
      <c r="A458" s="401"/>
      <c r="B458" s="401"/>
      <c r="C458" s="401"/>
      <c r="D458" s="1305"/>
      <c r="E458" s="1305"/>
      <c r="F458" s="1305"/>
      <c r="I458" s="489"/>
    </row>
    <row r="459" spans="1:9">
      <c r="A459" s="401"/>
      <c r="B459" s="401"/>
      <c r="C459" s="401"/>
      <c r="D459" s="1305"/>
      <c r="E459" s="1305"/>
      <c r="F459" s="1305"/>
      <c r="I459" s="489"/>
    </row>
    <row r="460" spans="1:9">
      <c r="A460" s="401"/>
      <c r="B460" s="401"/>
      <c r="C460" s="401"/>
      <c r="D460" s="1305"/>
      <c r="E460" s="1305"/>
      <c r="F460" s="1305"/>
      <c r="I460" s="489"/>
    </row>
    <row r="461" spans="1:9">
      <c r="A461" s="401"/>
      <c r="B461" s="401"/>
      <c r="C461" s="401"/>
      <c r="D461" s="1305"/>
      <c r="E461" s="1305"/>
      <c r="F461" s="1305"/>
      <c r="I461" s="489"/>
    </row>
    <row r="462" spans="1:9">
      <c r="A462" s="401"/>
      <c r="B462" s="401"/>
      <c r="C462" s="401"/>
      <c r="D462" s="1305"/>
      <c r="E462" s="1305"/>
      <c r="F462" s="1305"/>
      <c r="I462" s="489"/>
    </row>
    <row r="463" spans="1:9">
      <c r="A463" s="401"/>
      <c r="B463" s="401"/>
      <c r="C463" s="401"/>
      <c r="D463" s="1305"/>
      <c r="E463" s="1305"/>
      <c r="F463" s="1305"/>
      <c r="I463" s="489"/>
    </row>
    <row r="464" spans="1:9">
      <c r="D464" s="1305"/>
      <c r="E464" s="1305"/>
      <c r="F464" s="1305"/>
      <c r="I464" s="489"/>
    </row>
    <row r="465" spans="1:9" ht="40.700000000000003" customHeight="1">
      <c r="D465" s="1305"/>
      <c r="E465" s="1305"/>
      <c r="F465" s="1305"/>
      <c r="I465" s="489"/>
    </row>
    <row r="466" spans="1:9">
      <c r="D466" s="445"/>
      <c r="E466" s="445"/>
      <c r="F466" s="445"/>
      <c r="I466" s="489"/>
    </row>
    <row r="467" spans="1:9" ht="14.25">
      <c r="A467" s="483"/>
      <c r="B467" s="484" t="s">
        <v>2671</v>
      </c>
      <c r="C467" s="486"/>
      <c r="D467" s="1305" t="s">
        <v>1138</v>
      </c>
      <c r="E467" s="1305"/>
      <c r="F467" s="1305"/>
      <c r="I467" s="489"/>
    </row>
    <row r="468" spans="1:9">
      <c r="D468" s="1305"/>
      <c r="E468" s="1305"/>
      <c r="F468" s="1305"/>
      <c r="I468" s="489"/>
    </row>
    <row r="469" spans="1:9">
      <c r="D469" s="1305"/>
      <c r="E469" s="1305"/>
      <c r="F469" s="1305"/>
      <c r="I469" s="489"/>
    </row>
    <row r="470" spans="1:9">
      <c r="D470" s="444"/>
      <c r="E470" s="444"/>
      <c r="F470" s="444"/>
      <c r="I470" s="489"/>
    </row>
    <row r="471" spans="1:9" ht="14.25">
      <c r="B471" s="484" t="s">
        <v>2671</v>
      </c>
      <c r="C471" s="483"/>
      <c r="D471" s="1305" t="s">
        <v>1198</v>
      </c>
      <c r="E471" s="1305"/>
      <c r="F471" s="1305"/>
      <c r="I471" s="489"/>
    </row>
    <row r="472" spans="1:9">
      <c r="D472" s="1305"/>
      <c r="E472" s="1305"/>
      <c r="F472" s="1305"/>
      <c r="I472" s="489"/>
    </row>
    <row r="473" spans="1:9">
      <c r="D473" s="445"/>
      <c r="E473" s="445"/>
      <c r="F473" s="445"/>
      <c r="I473" s="489"/>
    </row>
    <row r="474" spans="1:9" ht="14.25">
      <c r="B474" s="484" t="s">
        <v>2671</v>
      </c>
      <c r="C474" s="483"/>
      <c r="D474" s="1305" t="s">
        <v>1139</v>
      </c>
      <c r="E474" s="1305"/>
      <c r="F474" s="1305"/>
      <c r="I474" s="489"/>
    </row>
    <row r="475" spans="1:9">
      <c r="D475" s="1305"/>
      <c r="E475" s="1305"/>
      <c r="F475" s="1305"/>
      <c r="I475" s="489"/>
    </row>
    <row r="476" spans="1:9">
      <c r="D476" s="1305"/>
      <c r="E476" s="1305"/>
      <c r="F476" s="1305"/>
      <c r="I476" s="489"/>
    </row>
    <row r="477" spans="1:9">
      <c r="D477" s="1305"/>
      <c r="E477" s="1305"/>
      <c r="F477" s="1305"/>
      <c r="I477" s="489"/>
    </row>
    <row r="478" spans="1:9">
      <c r="B478" s="484" t="s">
        <v>2671</v>
      </c>
      <c r="D478" s="1305"/>
      <c r="E478" s="1305"/>
      <c r="F478" s="1305"/>
      <c r="I478" s="489"/>
    </row>
    <row r="479" spans="1:9">
      <c r="A479" s="401"/>
      <c r="B479" s="401"/>
      <c r="C479" s="401"/>
      <c r="D479" s="1305"/>
      <c r="E479" s="1305"/>
      <c r="F479" s="1305"/>
      <c r="I479" s="489"/>
    </row>
    <row r="480" spans="1:9">
      <c r="A480" s="401"/>
      <c r="C480" s="401"/>
      <c r="D480" s="1305"/>
      <c r="E480" s="1305"/>
      <c r="F480" s="1305"/>
      <c r="I480" s="489"/>
    </row>
    <row r="481" spans="1:9">
      <c r="A481" s="401"/>
      <c r="B481" s="484" t="s">
        <v>2671</v>
      </c>
      <c r="C481" s="401"/>
      <c r="D481" s="1305"/>
      <c r="E481" s="1305"/>
      <c r="F481" s="1305"/>
      <c r="I481" s="489"/>
    </row>
    <row r="482" spans="1:9">
      <c r="A482" s="401"/>
      <c r="B482" s="401"/>
      <c r="C482" s="401"/>
      <c r="D482" s="1305"/>
      <c r="E482" s="1305"/>
      <c r="F482" s="1305"/>
      <c r="I482" s="489"/>
    </row>
    <row r="483" spans="1:9">
      <c r="A483" s="401"/>
      <c r="C483" s="401"/>
      <c r="D483" s="1305"/>
      <c r="E483" s="1305"/>
      <c r="F483" s="1305"/>
      <c r="I483" s="489"/>
    </row>
    <row r="484" spans="1:9">
      <c r="A484" s="401"/>
      <c r="C484" s="401"/>
      <c r="D484" s="1305"/>
      <c r="E484" s="1305"/>
      <c r="F484" s="1305"/>
      <c r="I484" s="489"/>
    </row>
    <row r="485" spans="1:9">
      <c r="A485" s="401"/>
      <c r="C485" s="401"/>
      <c r="D485" s="1305"/>
      <c r="E485" s="1305"/>
      <c r="F485" s="1305"/>
      <c r="I485" s="489"/>
    </row>
    <row r="486" spans="1:9">
      <c r="A486" s="401"/>
      <c r="B486" s="484" t="s">
        <v>2671</v>
      </c>
      <c r="C486" s="401"/>
      <c r="D486" s="1305"/>
      <c r="E486" s="1305"/>
      <c r="F486" s="1305"/>
      <c r="I486" s="489"/>
    </row>
    <row r="487" spans="1:9">
      <c r="A487" s="401"/>
      <c r="C487" s="401"/>
      <c r="D487" s="1305"/>
      <c r="E487" s="1305"/>
      <c r="F487" s="1305"/>
      <c r="I487" s="489"/>
    </row>
    <row r="488" spans="1:9">
      <c r="A488" s="401"/>
      <c r="B488" s="484" t="s">
        <v>2671</v>
      </c>
      <c r="C488" s="401"/>
      <c r="D488" s="1305" t="s">
        <v>1140</v>
      </c>
      <c r="E488" s="1305"/>
      <c r="F488" s="1305"/>
      <c r="I488" s="489"/>
    </row>
    <row r="489" spans="1:9">
      <c r="A489" s="401"/>
      <c r="B489" s="401"/>
      <c r="C489" s="401"/>
      <c r="D489" s="1305"/>
      <c r="E489" s="1305"/>
      <c r="F489" s="1305"/>
      <c r="I489" s="489"/>
    </row>
    <row r="490" spans="1:9">
      <c r="A490" s="401"/>
      <c r="B490" s="401"/>
      <c r="C490" s="401"/>
      <c r="D490" s="1305"/>
      <c r="E490" s="1305"/>
      <c r="F490" s="1305"/>
      <c r="I490" s="489"/>
    </row>
    <row r="491" spans="1:9">
      <c r="A491" s="401"/>
      <c r="B491" s="401"/>
      <c r="C491" s="401"/>
      <c r="D491" s="1305"/>
      <c r="E491" s="1305"/>
      <c r="F491" s="1305"/>
      <c r="I491" s="489"/>
    </row>
    <row r="492" spans="1:9">
      <c r="D492" s="1305"/>
      <c r="E492" s="1305"/>
      <c r="F492" s="1305"/>
      <c r="I492" s="489"/>
    </row>
    <row r="493" spans="1:9">
      <c r="D493" s="445"/>
      <c r="E493" s="445"/>
      <c r="F493" s="445"/>
      <c r="I493" s="489"/>
    </row>
    <row r="494" spans="1:9">
      <c r="B494" s="484" t="s">
        <v>2671</v>
      </c>
      <c r="D494" s="1303" t="s">
        <v>1141</v>
      </c>
      <c r="E494" s="1303"/>
      <c r="F494" s="1303"/>
      <c r="I494" s="489"/>
    </row>
    <row r="495" spans="1:9">
      <c r="A495" s="445"/>
      <c r="B495" s="445"/>
      <c r="I495" s="489"/>
    </row>
    <row r="496" spans="1:9">
      <c r="A496" s="1312" t="s">
        <v>1051</v>
      </c>
      <c r="B496" s="1312"/>
      <c r="C496" s="1312"/>
      <c r="D496" s="1312"/>
      <c r="E496" s="1312"/>
      <c r="F496" s="1312"/>
      <c r="G496" s="1312"/>
      <c r="H496" s="1027"/>
      <c r="I496" s="1152"/>
    </row>
    <row r="497" spans="1:9">
      <c r="A497" s="445"/>
      <c r="B497" s="445"/>
      <c r="I497" s="489"/>
    </row>
    <row r="498" spans="1:9">
      <c r="D498" s="1331" t="s">
        <v>884</v>
      </c>
      <c r="E498" s="1331"/>
      <c r="F498" s="1331"/>
      <c r="I498" s="489"/>
    </row>
    <row r="499" spans="1:9" ht="14.25">
      <c r="A499" s="483"/>
      <c r="B499" s="483"/>
      <c r="D499" s="1322" t="s">
        <v>1142</v>
      </c>
      <c r="E499" s="1322"/>
      <c r="F499" s="1322"/>
      <c r="I499" s="489"/>
    </row>
    <row r="500" spans="1:9" ht="14.25">
      <c r="A500" s="483"/>
      <c r="B500" s="483"/>
      <c r="D500" s="446"/>
      <c r="I500" s="489"/>
    </row>
    <row r="501" spans="1:9" ht="14.25">
      <c r="A501" s="483"/>
      <c r="B501" s="484" t="s">
        <v>2671</v>
      </c>
      <c r="D501" s="1276" t="s">
        <v>1143</v>
      </c>
      <c r="E501" s="1276"/>
      <c r="F501" s="1276"/>
      <c r="I501" s="489"/>
    </row>
    <row r="502" spans="1:9" ht="14.25">
      <c r="A502" s="483"/>
      <c r="B502" s="483"/>
      <c r="D502" s="1276"/>
      <c r="E502" s="1276"/>
      <c r="F502" s="1276"/>
      <c r="I502" s="489"/>
    </row>
    <row r="503" spans="1:9" ht="14.25">
      <c r="A503" s="483"/>
      <c r="B503" s="483"/>
      <c r="D503" s="445"/>
      <c r="I503" s="489"/>
    </row>
    <row r="504" spans="1:9" ht="12.75" customHeight="1">
      <c r="B504" s="484" t="s">
        <v>2671</v>
      </c>
      <c r="D504" s="1317" t="s">
        <v>1274</v>
      </c>
      <c r="E504" s="1317"/>
      <c r="F504" s="1317"/>
      <c r="I504" s="489"/>
    </row>
    <row r="505" spans="1:9" ht="14.25">
      <c r="A505" s="483"/>
      <c r="D505" s="1317"/>
      <c r="E505" s="1317"/>
      <c r="F505" s="1317"/>
      <c r="I505" s="489"/>
    </row>
    <row r="506" spans="1:9" ht="14.25">
      <c r="A506" s="483"/>
      <c r="B506" s="483"/>
      <c r="D506" s="1317"/>
      <c r="E506" s="1317"/>
      <c r="F506" s="1317"/>
      <c r="I506" s="489"/>
    </row>
    <row r="507" spans="1:9" ht="14.25">
      <c r="A507" s="483"/>
      <c r="B507" s="483"/>
      <c r="D507" s="1317"/>
      <c r="E507" s="1317"/>
      <c r="F507" s="1317"/>
      <c r="I507" s="489"/>
    </row>
    <row r="508" spans="1:9" ht="14.25">
      <c r="A508" s="483"/>
      <c r="D508" s="519"/>
      <c r="E508" s="519"/>
      <c r="F508" s="519"/>
      <c r="I508" s="489"/>
    </row>
    <row r="509" spans="1:9" ht="14.25">
      <c r="A509" s="483"/>
      <c r="B509" s="484" t="s">
        <v>2671</v>
      </c>
      <c r="D509" s="1303" t="s">
        <v>1144</v>
      </c>
      <c r="E509" s="1303"/>
      <c r="F509" s="1303"/>
      <c r="I509" s="489"/>
    </row>
    <row r="510" spans="1:9" ht="14.25">
      <c r="A510" s="483"/>
      <c r="B510" s="483"/>
      <c r="D510" s="445"/>
      <c r="I510" s="489"/>
    </row>
    <row r="511" spans="1:9" ht="14.25">
      <c r="A511" s="483"/>
      <c r="B511" s="484" t="s">
        <v>2671</v>
      </c>
      <c r="D511" s="1305" t="s">
        <v>1145</v>
      </c>
      <c r="E511" s="1305"/>
      <c r="F511" s="1305"/>
      <c r="I511" s="489"/>
    </row>
    <row r="512" spans="1:9" ht="14.25">
      <c r="A512" s="483"/>
      <c r="D512" s="1305"/>
      <c r="E512" s="1305"/>
      <c r="F512" s="1305"/>
      <c r="I512" s="489"/>
    </row>
    <row r="513" spans="1:9">
      <c r="A513" s="489"/>
      <c r="B513" s="489"/>
      <c r="D513" s="446"/>
      <c r="I513" s="489"/>
    </row>
    <row r="514" spans="1:9">
      <c r="A514" s="489"/>
      <c r="B514" s="484" t="s">
        <v>2671</v>
      </c>
      <c r="D514" s="1303" t="s">
        <v>1146</v>
      </c>
      <c r="E514" s="1303"/>
      <c r="F514" s="1303"/>
      <c r="I514" s="489"/>
    </row>
    <row r="515" spans="1:9">
      <c r="D515" s="445"/>
      <c r="E515" s="445"/>
      <c r="F515" s="445"/>
      <c r="I515" s="489"/>
    </row>
    <row r="516" spans="1:9">
      <c r="B516" s="484" t="s">
        <v>2671</v>
      </c>
      <c r="D516" s="1305" t="s">
        <v>2282</v>
      </c>
      <c r="E516" s="1305"/>
      <c r="F516" s="1305"/>
      <c r="I516" s="489"/>
    </row>
    <row r="517" spans="1:9">
      <c r="D517" s="1305"/>
      <c r="E517" s="1305"/>
      <c r="F517" s="1305"/>
      <c r="I517" s="489"/>
    </row>
    <row r="518" spans="1:9">
      <c r="D518" s="1305"/>
      <c r="E518" s="1305"/>
      <c r="F518" s="1305"/>
      <c r="I518" s="489"/>
    </row>
    <row r="519" spans="1:9">
      <c r="D519" s="445"/>
      <c r="E519" s="445"/>
      <c r="F519" s="445"/>
      <c r="I519" s="489"/>
    </row>
    <row r="520" spans="1:9" ht="14.25">
      <c r="A520" s="483"/>
      <c r="B520" s="483"/>
      <c r="D520" s="445"/>
      <c r="I520" s="489"/>
    </row>
    <row r="521" spans="1:9">
      <c r="A521" s="1312" t="s">
        <v>1052</v>
      </c>
      <c r="B521" s="1312"/>
      <c r="C521" s="1312"/>
      <c r="D521" s="1312"/>
      <c r="E521" s="1312"/>
      <c r="F521" s="1312"/>
      <c r="G521" s="1312"/>
      <c r="H521" s="1027"/>
      <c r="I521" s="1152"/>
    </row>
    <row r="522" spans="1:9" ht="12" customHeight="1">
      <c r="A522" s="483"/>
      <c r="B522" s="483"/>
      <c r="D522" s="445"/>
      <c r="I522" s="489"/>
    </row>
    <row r="523" spans="1:9">
      <c r="C523" s="481"/>
      <c r="D523" s="1313" t="s">
        <v>794</v>
      </c>
      <c r="E523" s="1313"/>
      <c r="F523" s="1313"/>
      <c r="I523" s="489"/>
    </row>
    <row r="524" spans="1:9">
      <c r="C524" s="481"/>
      <c r="D524" s="505" t="s">
        <v>1200</v>
      </c>
      <c r="E524" s="505"/>
      <c r="F524" s="505"/>
      <c r="I524" s="489"/>
    </row>
    <row r="525" spans="1:9">
      <c r="C525" s="481"/>
      <c r="D525" s="505" t="s">
        <v>1201</v>
      </c>
      <c r="E525" s="505"/>
      <c r="F525" s="505"/>
      <c r="I525" s="489"/>
    </row>
    <row r="526" spans="1:9">
      <c r="C526" s="481"/>
      <c r="D526" s="480"/>
      <c r="E526" s="480"/>
      <c r="F526" s="480"/>
      <c r="I526" s="489"/>
    </row>
    <row r="527" spans="1:9" ht="13.7" customHeight="1">
      <c r="A527" s="482"/>
      <c r="B527" s="484" t="s">
        <v>2744</v>
      </c>
      <c r="C527" s="482"/>
      <c r="D527" s="1276" t="s">
        <v>2061</v>
      </c>
      <c r="E527" s="1276"/>
      <c r="F527" s="1276"/>
      <c r="I527" s="489"/>
    </row>
    <row r="528" spans="1:9">
      <c r="A528" s="482"/>
      <c r="B528" s="482"/>
      <c r="C528" s="482"/>
      <c r="D528" s="1276"/>
      <c r="E528" s="1276"/>
      <c r="F528" s="1276"/>
      <c r="I528" s="489"/>
    </row>
    <row r="529" spans="1:9">
      <c r="A529" s="482"/>
      <c r="B529" s="482"/>
      <c r="C529" s="482"/>
      <c r="D529" s="450"/>
      <c r="E529" s="450"/>
      <c r="F529" s="450"/>
      <c r="I529" s="479"/>
    </row>
    <row r="530" spans="1:9" ht="12.75" customHeight="1">
      <c r="A530" s="482"/>
      <c r="B530" s="484" t="s">
        <v>2744</v>
      </c>
      <c r="D530" s="385" t="s">
        <v>1905</v>
      </c>
      <c r="E530" s="384"/>
      <c r="F530" s="384"/>
      <c r="I530" s="489"/>
    </row>
    <row r="531" spans="1:9">
      <c r="A531" s="482"/>
      <c r="B531" s="482"/>
      <c r="C531" s="482"/>
      <c r="D531" s="384"/>
      <c r="E531" s="96" t="s">
        <v>1906</v>
      </c>
      <c r="I531" s="489"/>
    </row>
    <row r="532" spans="1:9">
      <c r="A532" s="482"/>
      <c r="B532" s="482"/>
      <c r="D532" s="1284" t="s">
        <v>2062</v>
      </c>
      <c r="E532" s="1284"/>
      <c r="F532" s="1284"/>
      <c r="I532" s="489"/>
    </row>
    <row r="533" spans="1:9">
      <c r="A533" s="482"/>
      <c r="B533" s="482"/>
      <c r="D533" s="1284"/>
      <c r="E533" s="1284"/>
      <c r="F533" s="1284"/>
      <c r="I533" s="489"/>
    </row>
    <row r="534" spans="1:9">
      <c r="A534" s="482"/>
      <c r="B534" s="482"/>
      <c r="C534" s="482"/>
      <c r="D534" s="1284"/>
      <c r="E534" s="1284"/>
      <c r="F534" s="1284"/>
      <c r="I534" s="489"/>
    </row>
    <row r="535" spans="1:9">
      <c r="A535" s="482"/>
      <c r="B535" s="482"/>
      <c r="C535" s="482"/>
      <c r="D535" s="497"/>
      <c r="F535" s="445"/>
      <c r="I535" s="489"/>
    </row>
    <row r="536" spans="1:9" ht="13.35" customHeight="1">
      <c r="A536" s="482"/>
      <c r="B536" s="484" t="s">
        <v>2671</v>
      </c>
      <c r="C536" s="482"/>
      <c r="D536" s="1305" t="s">
        <v>2063</v>
      </c>
      <c r="E536" s="1305"/>
      <c r="F536" s="1305"/>
      <c r="I536" s="489"/>
    </row>
    <row r="537" spans="1:9">
      <c r="A537" s="482"/>
      <c r="B537" s="482"/>
      <c r="C537" s="482"/>
      <c r="D537" s="1305"/>
      <c r="E537" s="1305"/>
      <c r="F537" s="1305"/>
      <c r="I537" s="489"/>
    </row>
    <row r="538" spans="1:9" ht="12" customHeight="1">
      <c r="A538" s="445"/>
      <c r="B538" s="445"/>
      <c r="C538" s="486"/>
      <c r="D538" s="445"/>
      <c r="F538" s="447"/>
      <c r="I538" s="489"/>
    </row>
    <row r="539" spans="1:9">
      <c r="A539" s="1312" t="s">
        <v>1053</v>
      </c>
      <c r="B539" s="1312"/>
      <c r="C539" s="1312"/>
      <c r="D539" s="1312"/>
      <c r="E539" s="1312"/>
      <c r="F539" s="1312"/>
      <c r="G539" s="1312"/>
      <c r="H539" s="1027"/>
      <c r="I539" s="1152"/>
    </row>
    <row r="540" spans="1:9">
      <c r="A540" s="445"/>
      <c r="B540" s="445"/>
      <c r="C540" s="486"/>
      <c r="F540" s="447"/>
      <c r="I540" s="489"/>
    </row>
    <row r="541" spans="1:9">
      <c r="B541" s="1307" t="s">
        <v>447</v>
      </c>
      <c r="C541" s="1307"/>
      <c r="D541" s="1307"/>
      <c r="E541" s="1307"/>
      <c r="F541" s="1307"/>
      <c r="I541" s="489"/>
    </row>
    <row r="542" spans="1:9">
      <c r="A542" s="445"/>
      <c r="B542" s="445"/>
      <c r="C542" s="486"/>
      <c r="D542" s="445"/>
      <c r="F542" s="445"/>
      <c r="I542" s="489"/>
    </row>
    <row r="543" spans="1:9">
      <c r="A543" s="1304" t="s">
        <v>1054</v>
      </c>
      <c r="B543" s="1304"/>
      <c r="C543" s="1304"/>
      <c r="D543" s="1304"/>
      <c r="E543" s="1304"/>
      <c r="F543" s="1304"/>
      <c r="G543" s="1304"/>
      <c r="H543" s="1027"/>
      <c r="I543" s="1152"/>
    </row>
    <row r="544" spans="1:9">
      <c r="A544" s="445"/>
      <c r="B544" s="445"/>
      <c r="C544" s="486"/>
      <c r="D544" s="445"/>
      <c r="F544" s="445"/>
      <c r="I544" s="489"/>
    </row>
    <row r="545" spans="1:9">
      <c r="C545" s="486"/>
      <c r="D545" s="1313" t="s">
        <v>684</v>
      </c>
      <c r="E545" s="1313"/>
      <c r="F545" s="1313"/>
      <c r="I545" s="489"/>
    </row>
    <row r="546" spans="1:9">
      <c r="C546" s="486"/>
      <c r="D546" s="1303" t="s">
        <v>1082</v>
      </c>
      <c r="E546" s="1303"/>
      <c r="F546" s="1303"/>
      <c r="I546" s="489"/>
    </row>
    <row r="547" spans="1:9">
      <c r="C547" s="486"/>
      <c r="D547" s="445"/>
      <c r="E547" s="445"/>
      <c r="F547" s="445"/>
      <c r="I547" s="489"/>
    </row>
    <row r="548" spans="1:9" ht="13.7" customHeight="1">
      <c r="A548" s="483"/>
      <c r="B548" s="484" t="s">
        <v>2744</v>
      </c>
      <c r="C548" s="486"/>
      <c r="D548" s="1303" t="s">
        <v>885</v>
      </c>
      <c r="E548" s="1303"/>
      <c r="F548" s="1303"/>
      <c r="I548" s="489"/>
    </row>
    <row r="549" spans="1:9" ht="13.7" customHeight="1">
      <c r="A549" s="486"/>
      <c r="B549" s="486"/>
      <c r="C549" s="486"/>
      <c r="D549" s="445"/>
      <c r="I549" s="489"/>
    </row>
    <row r="550" spans="1:9" ht="14.25">
      <c r="A550" s="483"/>
      <c r="B550" s="484" t="s">
        <v>2744</v>
      </c>
      <c r="C550" s="486"/>
      <c r="D550" s="1305" t="s">
        <v>1083</v>
      </c>
      <c r="E550" s="1305"/>
      <c r="F550" s="1305"/>
      <c r="I550" s="489"/>
    </row>
    <row r="551" spans="1:9">
      <c r="A551" s="486"/>
      <c r="B551" s="486"/>
      <c r="C551" s="486"/>
      <c r="D551" s="1305"/>
      <c r="E551" s="1305"/>
      <c r="F551" s="1305"/>
      <c r="I551" s="489"/>
    </row>
    <row r="552" spans="1:9">
      <c r="A552" s="486"/>
      <c r="B552" s="486"/>
      <c r="C552" s="486"/>
      <c r="D552" s="445"/>
      <c r="E552" s="445"/>
      <c r="F552" s="445"/>
      <c r="I552" s="489"/>
    </row>
    <row r="553" spans="1:9" ht="14.25">
      <c r="A553" s="483"/>
      <c r="B553" s="484" t="s">
        <v>2744</v>
      </c>
      <c r="C553" s="486"/>
      <c r="D553" s="1305" t="s">
        <v>1084</v>
      </c>
      <c r="E553" s="1305"/>
      <c r="F553" s="1305"/>
      <c r="I553" s="489"/>
    </row>
    <row r="554" spans="1:9">
      <c r="A554" s="486"/>
      <c r="B554" s="486"/>
      <c r="C554" s="486"/>
      <c r="D554" s="1305"/>
      <c r="E554" s="1305"/>
      <c r="F554" s="1305"/>
      <c r="I554" s="489"/>
    </row>
    <row r="555" spans="1:9">
      <c r="A555" s="486"/>
      <c r="B555" s="486"/>
      <c r="C555" s="486"/>
      <c r="D555" s="445"/>
      <c r="E555" s="445"/>
      <c r="F555" s="445"/>
      <c r="I555" s="489"/>
    </row>
    <row r="556" spans="1:9" ht="14.25">
      <c r="A556" s="483"/>
      <c r="B556" s="484" t="s">
        <v>2744</v>
      </c>
      <c r="C556" s="486"/>
      <c r="D556" s="1305" t="s">
        <v>1085</v>
      </c>
      <c r="E556" s="1305"/>
      <c r="F556" s="1305"/>
      <c r="I556" s="489"/>
    </row>
    <row r="557" spans="1:9">
      <c r="A557" s="486"/>
      <c r="B557" s="486"/>
      <c r="C557" s="486"/>
      <c r="D557" s="1305"/>
      <c r="E557" s="1305"/>
      <c r="F557" s="1305"/>
      <c r="I557" s="489"/>
    </row>
    <row r="558" spans="1:9">
      <c r="A558" s="486"/>
      <c r="B558" s="486"/>
      <c r="C558" s="486"/>
      <c r="D558" s="445"/>
      <c r="E558" s="445"/>
      <c r="F558" s="445"/>
      <c r="I558" s="489"/>
    </row>
    <row r="559" spans="1:9" ht="14.25">
      <c r="A559" s="483"/>
      <c r="B559" s="484" t="s">
        <v>2744</v>
      </c>
      <c r="C559" s="486"/>
      <c r="D559" s="1305" t="s">
        <v>1086</v>
      </c>
      <c r="E559" s="1305"/>
      <c r="F559" s="1305"/>
      <c r="I559" s="489"/>
    </row>
    <row r="560" spans="1:9">
      <c r="A560" s="486"/>
      <c r="B560" s="486"/>
      <c r="C560" s="486"/>
      <c r="D560" s="1305"/>
      <c r="E560" s="1305"/>
      <c r="F560" s="1305"/>
      <c r="I560" s="489"/>
    </row>
    <row r="561" spans="1:9">
      <c r="A561" s="486"/>
      <c r="B561" s="486"/>
      <c r="C561" s="486"/>
      <c r="D561" s="1305"/>
      <c r="E561" s="1305"/>
      <c r="F561" s="1305"/>
      <c r="I561" s="489"/>
    </row>
    <row r="562" spans="1:9">
      <c r="A562" s="486"/>
      <c r="B562" s="486"/>
      <c r="C562" s="486"/>
      <c r="D562" s="445"/>
      <c r="E562" s="445"/>
      <c r="F562" s="445"/>
      <c r="I562" s="489"/>
    </row>
    <row r="563" spans="1:9" ht="14.25">
      <c r="A563" s="483"/>
      <c r="B563" s="484" t="s">
        <v>2671</v>
      </c>
      <c r="C563" s="486"/>
      <c r="D563" s="1305" t="s">
        <v>2249</v>
      </c>
      <c r="E563" s="1305"/>
      <c r="F563" s="1305"/>
      <c r="I563" s="489"/>
    </row>
    <row r="564" spans="1:9">
      <c r="A564" s="486"/>
      <c r="B564" s="486"/>
      <c r="C564" s="486"/>
      <c r="D564" s="1305"/>
      <c r="E564" s="1305"/>
      <c r="F564" s="1305"/>
      <c r="I564" s="489"/>
    </row>
    <row r="565" spans="1:9">
      <c r="A565" s="486"/>
      <c r="B565" s="486"/>
      <c r="C565" s="486"/>
      <c r="D565" s="445"/>
      <c r="E565" s="445"/>
      <c r="F565" s="445"/>
      <c r="I565" s="489"/>
    </row>
    <row r="566" spans="1:9" ht="14.25">
      <c r="A566" s="483"/>
      <c r="B566" s="484" t="s">
        <v>2671</v>
      </c>
      <c r="C566" s="486"/>
      <c r="D566" s="1305" t="s">
        <v>1087</v>
      </c>
      <c r="E566" s="1305"/>
      <c r="F566" s="1305"/>
      <c r="I566" s="489"/>
    </row>
    <row r="567" spans="1:9">
      <c r="A567" s="486"/>
      <c r="B567" s="486"/>
      <c r="C567" s="486"/>
      <c r="D567" s="1305"/>
      <c r="E567" s="1305"/>
      <c r="F567" s="1305"/>
      <c r="I567" s="489"/>
    </row>
    <row r="568" spans="1:9">
      <c r="A568" s="486"/>
      <c r="B568" s="486"/>
      <c r="C568" s="486"/>
      <c r="D568" s="445"/>
      <c r="E568" s="445"/>
      <c r="F568" s="445"/>
      <c r="I568" s="489"/>
    </row>
    <row r="569" spans="1:9" ht="14.25">
      <c r="A569" s="483"/>
      <c r="B569" s="484" t="s">
        <v>2744</v>
      </c>
      <c r="C569" s="486"/>
      <c r="D569" s="1303" t="s">
        <v>1088</v>
      </c>
      <c r="E569" s="1303"/>
      <c r="F569" s="1303"/>
      <c r="I569" s="489"/>
    </row>
    <row r="570" spans="1:9">
      <c r="A570" s="489"/>
      <c r="B570" s="489"/>
      <c r="C570" s="486"/>
      <c r="D570" s="1303" t="s">
        <v>1908</v>
      </c>
      <c r="E570" s="1303"/>
      <c r="F570" s="1303"/>
      <c r="I570" s="489"/>
    </row>
    <row r="571" spans="1:9">
      <c r="A571" s="489"/>
      <c r="B571" s="489"/>
      <c r="C571" s="486"/>
      <c r="E571" s="96" t="s">
        <v>1907</v>
      </c>
      <c r="F571" s="403"/>
      <c r="I571" s="489"/>
    </row>
    <row r="572" spans="1:9" ht="14.25">
      <c r="A572" s="483"/>
      <c r="B572" s="483"/>
      <c r="C572" s="486"/>
      <c r="E572" s="445"/>
      <c r="F572" s="445"/>
      <c r="I572" s="489"/>
    </row>
    <row r="573" spans="1:9" ht="14.25">
      <c r="A573" s="483"/>
      <c r="B573" s="484" t="s">
        <v>2744</v>
      </c>
      <c r="C573" s="486"/>
      <c r="D573" s="1303" t="s">
        <v>1089</v>
      </c>
      <c r="E573" s="1303"/>
      <c r="F573" s="1303"/>
      <c r="I573" s="489"/>
    </row>
    <row r="574" spans="1:9">
      <c r="C574" s="486"/>
      <c r="D574" s="1305" t="s">
        <v>1090</v>
      </c>
      <c r="E574" s="1305"/>
      <c r="F574" s="1305"/>
      <c r="I574" s="489"/>
    </row>
    <row r="575" spans="1:9">
      <c r="A575" s="486"/>
      <c r="B575" s="486"/>
      <c r="C575" s="486"/>
      <c r="D575" s="1305"/>
      <c r="E575" s="1305"/>
      <c r="F575" s="1305"/>
      <c r="I575" s="489"/>
    </row>
    <row r="576" spans="1:9">
      <c r="A576" s="486"/>
      <c r="B576" s="486"/>
      <c r="C576" s="486"/>
      <c r="D576" s="1305"/>
      <c r="E576" s="1305"/>
      <c r="F576" s="1305"/>
      <c r="I576" s="489"/>
    </row>
    <row r="577" spans="1:9">
      <c r="A577" s="486"/>
      <c r="B577" s="486"/>
      <c r="C577" s="486"/>
      <c r="D577" s="445"/>
      <c r="E577" s="445"/>
      <c r="F577" s="445"/>
      <c r="I577" s="489"/>
    </row>
    <row r="578" spans="1:9" ht="14.25">
      <c r="A578" s="483"/>
      <c r="B578" s="484" t="s">
        <v>2744</v>
      </c>
      <c r="C578" s="486"/>
      <c r="D578" s="1305" t="s">
        <v>2064</v>
      </c>
      <c r="E578" s="1305"/>
      <c r="F578" s="1305"/>
      <c r="I578" s="489"/>
    </row>
    <row r="579" spans="1:9" ht="14.25">
      <c r="A579" s="483"/>
      <c r="B579" s="483"/>
      <c r="C579" s="486"/>
      <c r="D579" s="1305"/>
      <c r="E579" s="1305"/>
      <c r="F579" s="1305"/>
      <c r="I579" s="489"/>
    </row>
    <row r="580" spans="1:9" ht="14.25">
      <c r="A580" s="483"/>
      <c r="B580" s="483"/>
      <c r="C580" s="486"/>
      <c r="D580" s="1305"/>
      <c r="E580" s="1305"/>
      <c r="F580" s="1305"/>
      <c r="I580" s="489"/>
    </row>
    <row r="581" spans="1:9" ht="14.25">
      <c r="A581" s="483"/>
      <c r="B581" s="483"/>
      <c r="C581" s="486"/>
      <c r="D581" s="1305"/>
      <c r="E581" s="1305"/>
      <c r="F581" s="1305"/>
      <c r="I581" s="489"/>
    </row>
    <row r="582" spans="1:9" ht="14.25">
      <c r="A582" s="483"/>
      <c r="B582" s="483"/>
      <c r="C582" s="486"/>
      <c r="D582" s="445"/>
      <c r="E582" s="445"/>
      <c r="F582" s="445"/>
      <c r="I582" s="489"/>
    </row>
    <row r="583" spans="1:9">
      <c r="A583" s="1312" t="s">
        <v>1055</v>
      </c>
      <c r="B583" s="1312"/>
      <c r="C583" s="1312"/>
      <c r="D583" s="1312"/>
      <c r="E583" s="1312"/>
      <c r="F583" s="1312"/>
      <c r="G583" s="1312"/>
      <c r="H583" s="1027"/>
      <c r="I583" s="1152"/>
    </row>
    <row r="584" spans="1:9">
      <c r="A584" s="486"/>
      <c r="B584" s="486"/>
      <c r="C584" s="486"/>
      <c r="E584" s="445"/>
      <c r="F584" s="445"/>
      <c r="I584" s="489"/>
    </row>
    <row r="585" spans="1:9" ht="12.75" customHeight="1">
      <c r="C585" s="481"/>
      <c r="D585" s="1321" t="s">
        <v>210</v>
      </c>
      <c r="E585" s="1321"/>
      <c r="F585" s="1321"/>
      <c r="I585" s="489"/>
    </row>
    <row r="586" spans="1:9">
      <c r="A586" s="482"/>
      <c r="B586" s="482"/>
      <c r="C586" s="482"/>
      <c r="D586" s="1317" t="s">
        <v>1068</v>
      </c>
      <c r="E586" s="1317"/>
      <c r="F586" s="1317"/>
      <c r="I586" s="489"/>
    </row>
    <row r="587" spans="1:9">
      <c r="A587" s="401"/>
      <c r="B587" s="401"/>
      <c r="C587" s="482"/>
      <c r="D587" s="498"/>
      <c r="I587" s="489"/>
    </row>
    <row r="588" spans="1:9">
      <c r="A588" s="482"/>
      <c r="B588" s="484" t="s">
        <v>2744</v>
      </c>
      <c r="D588" s="1317" t="s">
        <v>889</v>
      </c>
      <c r="E588" s="1317"/>
      <c r="F588" s="1317"/>
      <c r="I588" s="489"/>
    </row>
    <row r="589" spans="1:9">
      <c r="A589" s="489"/>
      <c r="B589" s="489"/>
      <c r="D589" s="475"/>
      <c r="I589" s="489"/>
    </row>
    <row r="590" spans="1:9">
      <c r="A590" s="489"/>
      <c r="B590" s="484" t="s">
        <v>2744</v>
      </c>
      <c r="D590" s="1317" t="s">
        <v>2065</v>
      </c>
      <c r="E590" s="1317"/>
      <c r="F590" s="1317"/>
      <c r="I590" s="489"/>
    </row>
    <row r="591" spans="1:9">
      <c r="A591" s="489"/>
      <c r="B591" s="489"/>
      <c r="D591" s="1317"/>
      <c r="E591" s="1317"/>
      <c r="F591" s="1317"/>
      <c r="I591" s="489"/>
    </row>
    <row r="592" spans="1:9">
      <c r="A592" s="489"/>
      <c r="B592" s="489"/>
      <c r="D592" s="1317"/>
      <c r="E592" s="1317"/>
      <c r="F592" s="1317"/>
      <c r="I592" s="489"/>
    </row>
    <row r="593" spans="1:9">
      <c r="A593" s="489"/>
      <c r="B593" s="489"/>
      <c r="D593" s="1317"/>
      <c r="E593" s="1317"/>
      <c r="F593" s="1317"/>
      <c r="I593" s="489"/>
    </row>
    <row r="594" spans="1:9">
      <c r="A594" s="489"/>
      <c r="B594" s="484" t="s">
        <v>2671</v>
      </c>
      <c r="D594" s="1317" t="s">
        <v>1069</v>
      </c>
      <c r="E594" s="1317"/>
      <c r="F594" s="1317"/>
      <c r="I594" s="489"/>
    </row>
    <row r="595" spans="1:9">
      <c r="A595" s="489"/>
      <c r="B595" s="489"/>
      <c r="D595" s="1317"/>
      <c r="E595" s="1317"/>
      <c r="F595" s="1317"/>
      <c r="I595" s="489"/>
    </row>
    <row r="596" spans="1:9">
      <c r="A596" s="489"/>
      <c r="B596" s="489"/>
      <c r="D596" s="1317"/>
      <c r="E596" s="1317"/>
      <c r="F596" s="1317"/>
      <c r="I596" s="489"/>
    </row>
    <row r="597" spans="1:9">
      <c r="A597" s="489"/>
      <c r="B597" s="489"/>
      <c r="D597" s="1317"/>
      <c r="E597" s="1317"/>
      <c r="F597" s="1317"/>
      <c r="I597" s="489"/>
    </row>
    <row r="598" spans="1:9">
      <c r="A598" s="489"/>
      <c r="B598" s="489"/>
      <c r="D598" s="439"/>
      <c r="E598" s="439"/>
      <c r="F598" s="439"/>
      <c r="I598" s="489"/>
    </row>
    <row r="599" spans="1:9">
      <c r="A599" s="489"/>
      <c r="B599" s="484" t="s">
        <v>2744</v>
      </c>
      <c r="D599" s="1317" t="s">
        <v>2066</v>
      </c>
      <c r="E599" s="1317"/>
      <c r="F599" s="1317"/>
      <c r="I599" s="489"/>
    </row>
    <row r="600" spans="1:9">
      <c r="A600" s="489"/>
      <c r="B600" s="489"/>
      <c r="D600" s="1317"/>
      <c r="E600" s="1317"/>
      <c r="F600" s="1317"/>
      <c r="I600" s="489"/>
    </row>
    <row r="601" spans="1:9">
      <c r="A601" s="489"/>
      <c r="B601" s="489"/>
      <c r="D601" s="498"/>
      <c r="I601" s="489"/>
    </row>
    <row r="602" spans="1:9">
      <c r="A602" s="489"/>
      <c r="B602" s="484" t="s">
        <v>2671</v>
      </c>
      <c r="D602" s="1317" t="s">
        <v>1070</v>
      </c>
      <c r="E602" s="1317"/>
      <c r="F602" s="1317"/>
      <c r="I602" s="489"/>
    </row>
    <row r="603" spans="1:9">
      <c r="A603" s="489"/>
      <c r="B603" s="489"/>
      <c r="D603" s="1317"/>
      <c r="E603" s="1317"/>
      <c r="F603" s="1317"/>
      <c r="I603" s="489"/>
    </row>
    <row r="604" spans="1:9" ht="14.25">
      <c r="A604" s="483"/>
      <c r="B604" s="483"/>
      <c r="D604" s="498"/>
      <c r="I604" s="489"/>
    </row>
    <row r="605" spans="1:9">
      <c r="A605" s="1312" t="s">
        <v>1056</v>
      </c>
      <c r="B605" s="1312"/>
      <c r="C605" s="1312"/>
      <c r="D605" s="1312"/>
      <c r="E605" s="1312"/>
      <c r="F605" s="1312"/>
      <c r="G605" s="1312"/>
      <c r="H605" s="1027"/>
      <c r="I605" s="1152"/>
    </row>
    <row r="606" spans="1:9">
      <c r="I606" s="489"/>
    </row>
    <row r="607" spans="1:9">
      <c r="D607" s="1313" t="s">
        <v>1108</v>
      </c>
      <c r="E607" s="1313"/>
      <c r="F607" s="1313"/>
      <c r="I607" s="489"/>
    </row>
    <row r="608" spans="1:9">
      <c r="D608" s="1285" t="s">
        <v>1109</v>
      </c>
      <c r="E608" s="1285"/>
      <c r="F608" s="1285"/>
      <c r="I608" s="489"/>
    </row>
    <row r="609" spans="1:9">
      <c r="D609" s="443"/>
      <c r="I609" s="489"/>
    </row>
    <row r="610" spans="1:9" ht="14.25" customHeight="1">
      <c r="A610" s="483"/>
      <c r="B610" s="484" t="s">
        <v>2744</v>
      </c>
      <c r="D610" s="1318" t="s">
        <v>1909</v>
      </c>
      <c r="E610" s="1318"/>
      <c r="F610" s="1318"/>
      <c r="I610" s="489"/>
    </row>
    <row r="611" spans="1:9">
      <c r="D611" s="1318"/>
      <c r="E611" s="1318"/>
      <c r="F611" s="1318"/>
      <c r="I611" s="489"/>
    </row>
    <row r="612" spans="1:9">
      <c r="D612" s="384"/>
      <c r="E612" s="1035" t="s">
        <v>1910</v>
      </c>
      <c r="F612" s="384"/>
      <c r="I612" s="489"/>
    </row>
    <row r="613" spans="1:9">
      <c r="I613" s="489"/>
    </row>
    <row r="614" spans="1:9">
      <c r="A614" s="1312" t="s">
        <v>1057</v>
      </c>
      <c r="B614" s="1312"/>
      <c r="C614" s="1312"/>
      <c r="D614" s="1312"/>
      <c r="E614" s="1312"/>
      <c r="F614" s="1312"/>
      <c r="G614" s="1312"/>
      <c r="H614" s="1027"/>
      <c r="I614" s="1152"/>
    </row>
    <row r="615" spans="1:9">
      <c r="A615" s="445"/>
      <c r="B615" s="445"/>
      <c r="I615" s="489"/>
    </row>
    <row r="616" spans="1:9">
      <c r="A616" s="481"/>
      <c r="B616" s="481"/>
      <c r="C616" s="481"/>
      <c r="D616" s="1302" t="s">
        <v>1110</v>
      </c>
      <c r="E616" s="1302"/>
      <c r="F616" s="1302"/>
      <c r="I616" s="489"/>
    </row>
    <row r="617" spans="1:9">
      <c r="A617" s="481"/>
      <c r="B617" s="481"/>
      <c r="C617" s="481"/>
      <c r="D617" s="1302"/>
      <c r="E617" s="1302"/>
      <c r="F617" s="1302"/>
      <c r="I617" s="489"/>
    </row>
    <row r="618" spans="1:9">
      <c r="C618" s="482"/>
      <c r="D618" s="1285" t="s">
        <v>1111</v>
      </c>
      <c r="E618" s="1285"/>
      <c r="F618" s="1285"/>
      <c r="I618" s="489"/>
    </row>
    <row r="619" spans="1:9">
      <c r="C619" s="482"/>
      <c r="D619" s="443"/>
      <c r="E619" s="443"/>
      <c r="F619" s="443"/>
      <c r="I619" s="489"/>
    </row>
    <row r="620" spans="1:9" ht="12.75" customHeight="1">
      <c r="A620" s="489"/>
      <c r="B620" s="484" t="s">
        <v>2744</v>
      </c>
      <c r="D620" s="1311" t="s">
        <v>1112</v>
      </c>
      <c r="E620" s="1311"/>
      <c r="F620" s="1311"/>
      <c r="I620" s="489"/>
    </row>
    <row r="621" spans="1:9">
      <c r="D621" s="1311"/>
      <c r="E621" s="1311"/>
      <c r="F621" s="1311"/>
      <c r="I621" s="489"/>
    </row>
    <row r="622" spans="1:9">
      <c r="I622" s="489"/>
    </row>
    <row r="623" spans="1:9">
      <c r="B623" s="484" t="s">
        <v>2744</v>
      </c>
      <c r="D623" s="1311" t="s">
        <v>1113</v>
      </c>
      <c r="E623" s="1311"/>
      <c r="F623" s="1311"/>
      <c r="I623" s="489"/>
    </row>
    <row r="624" spans="1:9">
      <c r="C624" s="499"/>
      <c r="D624" s="1311"/>
      <c r="E624" s="1311"/>
      <c r="F624" s="1311"/>
      <c r="I624" s="489"/>
    </row>
    <row r="625" spans="1:9">
      <c r="C625" s="499"/>
      <c r="I625" s="489"/>
    </row>
    <row r="626" spans="1:9">
      <c r="B626" s="484" t="s">
        <v>2671</v>
      </c>
      <c r="C626" s="499"/>
      <c r="D626" s="1311" t="s">
        <v>1114</v>
      </c>
      <c r="E626" s="1311"/>
      <c r="F626" s="1311"/>
      <c r="I626" s="489"/>
    </row>
    <row r="627" spans="1:9">
      <c r="C627" s="499"/>
      <c r="D627" s="1311"/>
      <c r="E627" s="1311"/>
      <c r="F627" s="1311"/>
      <c r="I627" s="499"/>
    </row>
    <row r="628" spans="1:9">
      <c r="C628" s="499"/>
      <c r="I628" s="489"/>
    </row>
    <row r="629" spans="1:9">
      <c r="A629" s="1312" t="s">
        <v>1058</v>
      </c>
      <c r="B629" s="1312"/>
      <c r="C629" s="1312"/>
      <c r="D629" s="1312"/>
      <c r="E629" s="1312"/>
      <c r="F629" s="1312"/>
      <c r="G629" s="1312"/>
      <c r="H629" s="1027"/>
      <c r="I629" s="1152"/>
    </row>
    <row r="630" spans="1:9">
      <c r="A630" s="481"/>
      <c r="B630" s="481"/>
      <c r="C630" s="481"/>
      <c r="I630" s="489"/>
    </row>
    <row r="631" spans="1:9">
      <c r="C631" s="489"/>
      <c r="D631" s="1313" t="s">
        <v>1115</v>
      </c>
      <c r="E631" s="1313"/>
      <c r="F631" s="1313"/>
      <c r="I631" s="489"/>
    </row>
    <row r="632" spans="1:9">
      <c r="A632" s="489"/>
      <c r="B632" s="489"/>
      <c r="D632" s="403"/>
      <c r="I632" s="489"/>
    </row>
    <row r="633" spans="1:9" ht="14.25" customHeight="1">
      <c r="A633" s="483"/>
      <c r="B633" s="484" t="s">
        <v>2744</v>
      </c>
      <c r="D633" s="1318" t="s">
        <v>2067</v>
      </c>
      <c r="E633" s="1318"/>
      <c r="F633" s="1318"/>
      <c r="I633" s="489"/>
    </row>
    <row r="634" spans="1:9">
      <c r="D634" s="1318"/>
      <c r="E634" s="1318"/>
      <c r="F634" s="1318"/>
      <c r="I634" s="489"/>
    </row>
    <row r="635" spans="1:9">
      <c r="D635" s="384"/>
      <c r="E635" s="1035" t="s">
        <v>1912</v>
      </c>
      <c r="F635" s="384"/>
      <c r="I635" s="489"/>
    </row>
    <row r="636" spans="1:9">
      <c r="D636" s="1305" t="s">
        <v>1911</v>
      </c>
      <c r="E636" s="1305"/>
      <c r="F636" s="1305"/>
      <c r="I636" s="489"/>
    </row>
    <row r="637" spans="1:9">
      <c r="D637" s="1305"/>
      <c r="E637" s="1305"/>
      <c r="F637" s="1305"/>
      <c r="I637" s="489"/>
    </row>
    <row r="638" spans="1:9">
      <c r="D638" s="1305"/>
      <c r="E638" s="1305"/>
      <c r="F638" s="1305"/>
      <c r="I638" s="489"/>
    </row>
    <row r="639" spans="1:9">
      <c r="D639" s="444"/>
      <c r="E639" s="444"/>
      <c r="F639" s="444"/>
      <c r="I639" s="489"/>
    </row>
    <row r="640" spans="1:9" ht="14.25">
      <c r="A640" s="483"/>
      <c r="B640" s="484" t="s">
        <v>2671</v>
      </c>
      <c r="D640" s="1305" t="s">
        <v>1116</v>
      </c>
      <c r="E640" s="1305"/>
      <c r="F640" s="1305"/>
      <c r="I640" s="489"/>
    </row>
    <row r="641" spans="1:9">
      <c r="A641" s="486"/>
      <c r="B641" s="486"/>
      <c r="C641" s="486"/>
      <c r="D641" s="1305"/>
      <c r="E641" s="1305"/>
      <c r="F641" s="1305"/>
      <c r="I641" s="489"/>
    </row>
    <row r="642" spans="1:9">
      <c r="A642" s="486"/>
      <c r="B642" s="486"/>
      <c r="C642" s="486"/>
      <c r="D642" s="445"/>
      <c r="E642" s="445"/>
      <c r="F642" s="445"/>
      <c r="I642" s="489"/>
    </row>
    <row r="643" spans="1:9" ht="14.25">
      <c r="A643" s="483"/>
      <c r="B643" s="484" t="s">
        <v>2671</v>
      </c>
      <c r="C643" s="486"/>
      <c r="D643" s="1305" t="s">
        <v>1226</v>
      </c>
      <c r="E643" s="1305"/>
      <c r="F643" s="1305"/>
      <c r="I643" s="489"/>
    </row>
    <row r="644" spans="1:9" ht="14.25">
      <c r="A644" s="483"/>
      <c r="B644" s="483"/>
      <c r="C644" s="486"/>
      <c r="D644" s="1305"/>
      <c r="E644" s="1305"/>
      <c r="F644" s="1305"/>
      <c r="I644" s="489"/>
    </row>
    <row r="645" spans="1:9" ht="14.25">
      <c r="A645" s="483"/>
      <c r="B645" s="483"/>
      <c r="C645" s="486"/>
      <c r="D645" s="1305"/>
      <c r="E645" s="1305"/>
      <c r="F645" s="1305"/>
      <c r="I645" s="489"/>
    </row>
    <row r="646" spans="1:9">
      <c r="A646" s="486"/>
      <c r="B646" s="484" t="s">
        <v>2671</v>
      </c>
      <c r="C646" s="486"/>
      <c r="D646" s="1303" t="s">
        <v>1117</v>
      </c>
      <c r="E646" s="1303"/>
      <c r="F646" s="1303"/>
      <c r="I646" s="489"/>
    </row>
    <row r="647" spans="1:9">
      <c r="A647" s="486"/>
      <c r="B647" s="486"/>
      <c r="C647" s="486"/>
      <c r="D647" s="445"/>
      <c r="E647" s="445"/>
      <c r="F647" s="445"/>
      <c r="I647" s="489"/>
    </row>
    <row r="648" spans="1:9">
      <c r="A648" s="1312" t="s">
        <v>1059</v>
      </c>
      <c r="B648" s="1312"/>
      <c r="C648" s="1312"/>
      <c r="D648" s="1312"/>
      <c r="E648" s="1312"/>
      <c r="F648" s="1312"/>
      <c r="G648" s="1312"/>
      <c r="H648" s="1027"/>
      <c r="I648" s="1152"/>
    </row>
    <row r="649" spans="1:9">
      <c r="A649" s="445"/>
      <c r="B649" s="445"/>
      <c r="C649" s="486"/>
      <c r="D649" s="445"/>
      <c r="E649" s="445"/>
      <c r="F649" s="445"/>
      <c r="I649" s="489"/>
    </row>
    <row r="650" spans="1:9">
      <c r="C650" s="481"/>
      <c r="D650" s="1313" t="s">
        <v>1147</v>
      </c>
      <c r="E650" s="1313"/>
      <c r="F650" s="1313"/>
      <c r="I650" s="489"/>
    </row>
    <row r="651" spans="1:9">
      <c r="A651" s="482"/>
      <c r="B651" s="482"/>
      <c r="C651" s="482"/>
      <c r="D651" s="1303" t="s">
        <v>1148</v>
      </c>
      <c r="E651" s="1303"/>
      <c r="F651" s="1303"/>
      <c r="I651" s="489"/>
    </row>
    <row r="652" spans="1:9">
      <c r="A652" s="482"/>
      <c r="B652" s="482"/>
      <c r="C652" s="482"/>
      <c r="D652" s="445"/>
      <c r="E652" s="445"/>
      <c r="F652" s="445"/>
      <c r="I652" s="489"/>
    </row>
    <row r="653" spans="1:9" ht="12.75" customHeight="1">
      <c r="B653" s="484" t="s">
        <v>2744</v>
      </c>
      <c r="C653" s="486"/>
      <c r="D653" s="1305" t="s">
        <v>1282</v>
      </c>
      <c r="E653" s="1305"/>
      <c r="F653" s="1305"/>
      <c r="I653" s="489"/>
    </row>
    <row r="654" spans="1:9">
      <c r="D654" s="1305"/>
      <c r="E654" s="1305"/>
      <c r="F654" s="1305"/>
      <c r="I654" s="489"/>
    </row>
    <row r="655" spans="1:9">
      <c r="D655" s="1305"/>
      <c r="E655" s="1305"/>
      <c r="F655" s="1305"/>
      <c r="I655" s="489"/>
    </row>
    <row r="656" spans="1:9">
      <c r="D656" s="1305"/>
      <c r="E656" s="1305"/>
      <c r="F656" s="1305"/>
      <c r="I656" s="489"/>
    </row>
    <row r="657" spans="1:9" ht="14.45" customHeight="1">
      <c r="A657" s="483"/>
      <c r="B657" s="483"/>
      <c r="C657" s="486"/>
      <c r="D657" s="384"/>
      <c r="E657" s="384"/>
      <c r="F657" s="384"/>
      <c r="I657" s="489"/>
    </row>
    <row r="658" spans="1:9" ht="12.75" customHeight="1">
      <c r="A658" s="482"/>
      <c r="B658" s="484" t="s">
        <v>2744</v>
      </c>
      <c r="C658" s="486"/>
      <c r="D658" s="1305" t="s">
        <v>1284</v>
      </c>
      <c r="E658" s="1305"/>
      <c r="F658" s="1305"/>
      <c r="I658" s="489"/>
    </row>
    <row r="659" spans="1:9" ht="14.25">
      <c r="A659" s="482"/>
      <c r="B659" s="483"/>
      <c r="C659" s="486"/>
      <c r="D659" s="1305"/>
      <c r="E659" s="1305"/>
      <c r="F659" s="1305"/>
      <c r="I659" s="489"/>
    </row>
    <row r="660" spans="1:9" ht="14.25">
      <c r="A660" s="482"/>
      <c r="B660" s="483"/>
      <c r="C660" s="486"/>
      <c r="D660" s="1305"/>
      <c r="E660" s="1305"/>
      <c r="F660" s="1305"/>
      <c r="I660" s="489"/>
    </row>
    <row r="661" spans="1:9" ht="14.25">
      <c r="A661" s="482"/>
      <c r="B661" s="483"/>
      <c r="C661" s="486"/>
      <c r="D661" s="1305"/>
      <c r="E661" s="1305"/>
      <c r="F661" s="1305"/>
      <c r="I661" s="489"/>
    </row>
    <row r="662" spans="1:9" ht="14.25">
      <c r="A662" s="482"/>
      <c r="B662" s="483"/>
      <c r="C662" s="486"/>
      <c r="D662" s="1305"/>
      <c r="E662" s="1305"/>
      <c r="F662" s="1305"/>
      <c r="I662" s="489"/>
    </row>
    <row r="663" spans="1:9" ht="14.25" customHeight="1">
      <c r="A663" s="482"/>
      <c r="B663" s="483"/>
      <c r="C663" s="486"/>
      <c r="F663" s="385"/>
      <c r="I663" s="489"/>
    </row>
    <row r="664" spans="1:9" ht="12.75" customHeight="1">
      <c r="A664" s="482"/>
      <c r="B664" s="484" t="s">
        <v>2744</v>
      </c>
      <c r="C664" s="486"/>
      <c r="D664" s="1305" t="s">
        <v>1283</v>
      </c>
      <c r="E664" s="1305"/>
      <c r="F664" s="1305"/>
      <c r="I664" s="489"/>
    </row>
    <row r="665" spans="1:9" ht="14.25">
      <c r="A665" s="482"/>
      <c r="B665" s="483"/>
      <c r="C665" s="486"/>
      <c r="D665" s="1305"/>
      <c r="E665" s="1305"/>
      <c r="F665" s="1305"/>
      <c r="I665" s="489"/>
    </row>
    <row r="666" spans="1:9" ht="14.25">
      <c r="A666" s="483"/>
      <c r="B666" s="483"/>
      <c r="C666" s="486"/>
      <c r="D666" s="1305"/>
      <c r="E666" s="1305"/>
      <c r="F666" s="1305"/>
      <c r="I666" s="489"/>
    </row>
    <row r="667" spans="1:9" ht="14.25">
      <c r="A667" s="483"/>
      <c r="B667" s="483"/>
      <c r="C667" s="486"/>
      <c r="D667" s="1305"/>
      <c r="E667" s="1305"/>
      <c r="F667" s="1305"/>
      <c r="I667" s="489"/>
    </row>
    <row r="668" spans="1:9" ht="14.25">
      <c r="A668" s="483"/>
      <c r="B668" s="483"/>
      <c r="C668" s="486"/>
      <c r="D668" s="444"/>
      <c r="E668" s="444"/>
      <c r="F668" s="444"/>
      <c r="I668" s="489"/>
    </row>
    <row r="669" spans="1:9" ht="12.75" customHeight="1">
      <c r="A669" s="482"/>
      <c r="B669" s="484" t="s">
        <v>2671</v>
      </c>
      <c r="C669" s="486"/>
      <c r="D669" s="1305" t="s">
        <v>2068</v>
      </c>
      <c r="E669" s="1305"/>
      <c r="F669" s="1305"/>
      <c r="I669" s="489"/>
    </row>
    <row r="670" spans="1:9" ht="12.75" customHeight="1">
      <c r="A670" s="482"/>
      <c r="B670" s="483"/>
      <c r="C670" s="486"/>
      <c r="D670" s="1305"/>
      <c r="E670" s="1305"/>
      <c r="F670" s="1305"/>
      <c r="I670" s="489"/>
    </row>
    <row r="671" spans="1:9" ht="12.75" customHeight="1">
      <c r="A671" s="482"/>
      <c r="B671" s="483"/>
      <c r="C671" s="486"/>
      <c r="D671" s="1305"/>
      <c r="E671" s="1305"/>
      <c r="F671" s="1305"/>
      <c r="I671" s="489"/>
    </row>
    <row r="672" spans="1:9" ht="12.75" customHeight="1">
      <c r="A672" s="482"/>
      <c r="B672" s="483"/>
      <c r="C672" s="486"/>
      <c r="D672" s="1305"/>
      <c r="E672" s="1305"/>
      <c r="F672" s="1305"/>
      <c r="I672" s="489"/>
    </row>
    <row r="673" spans="1:11" ht="12.75" customHeight="1">
      <c r="A673" s="482"/>
      <c r="B673" s="483"/>
      <c r="C673" s="486"/>
      <c r="D673" s="1305"/>
      <c r="E673" s="1305"/>
      <c r="F673" s="1305"/>
      <c r="I673" s="489"/>
    </row>
    <row r="674" spans="1:11" ht="12.75" customHeight="1">
      <c r="A674" s="482"/>
      <c r="B674" s="483"/>
      <c r="C674" s="486"/>
      <c r="D674" s="1305"/>
      <c r="E674" s="1305"/>
      <c r="F674" s="1305"/>
      <c r="I674" s="489"/>
    </row>
    <row r="675" spans="1:11" ht="12.75" customHeight="1">
      <c r="A675" s="482"/>
      <c r="B675" s="483"/>
      <c r="C675" s="486"/>
      <c r="D675" s="1305"/>
      <c r="E675" s="1305"/>
      <c r="F675" s="1305"/>
      <c r="I675" s="489"/>
    </row>
    <row r="676" spans="1:11" ht="12.75" customHeight="1">
      <c r="A676" s="482"/>
      <c r="B676" s="483"/>
      <c r="C676" s="486"/>
      <c r="D676" s="1305"/>
      <c r="E676" s="1305"/>
      <c r="F676" s="1305"/>
      <c r="I676" s="489"/>
    </row>
    <row r="677" spans="1:11" ht="12.75" customHeight="1">
      <c r="A677" s="482"/>
      <c r="B677" s="483"/>
      <c r="C677" s="486"/>
      <c r="D677" s="1305"/>
      <c r="E677" s="1305"/>
      <c r="F677" s="1305"/>
      <c r="I677" s="489"/>
    </row>
    <row r="678" spans="1:11">
      <c r="A678" s="486"/>
      <c r="B678" s="486"/>
      <c r="C678" s="486"/>
      <c r="D678" s="445"/>
      <c r="E678" s="445"/>
      <c r="F678" s="445"/>
      <c r="I678" s="489"/>
    </row>
    <row r="679" spans="1:11">
      <c r="A679" s="1312" t="s">
        <v>1060</v>
      </c>
      <c r="B679" s="1312"/>
      <c r="C679" s="1312"/>
      <c r="D679" s="1312"/>
      <c r="E679" s="1312"/>
      <c r="F679" s="1312"/>
      <c r="G679" s="1312"/>
      <c r="H679" s="1029"/>
      <c r="I679" s="1156"/>
      <c r="J679" s="500"/>
      <c r="K679" s="500"/>
    </row>
    <row r="680" spans="1:11">
      <c r="A680" s="447"/>
      <c r="B680" s="447"/>
      <c r="C680" s="447"/>
      <c r="D680" s="447"/>
      <c r="E680" s="447"/>
      <c r="F680" s="447"/>
      <c r="G680" s="447"/>
      <c r="H680" s="500"/>
      <c r="I680" s="482"/>
      <c r="J680" s="500"/>
      <c r="K680" s="500"/>
    </row>
    <row r="681" spans="1:11">
      <c r="C681" s="481"/>
      <c r="D681" s="1313" t="s">
        <v>99</v>
      </c>
      <c r="E681" s="1313"/>
      <c r="F681" s="1313"/>
      <c r="H681" s="500"/>
      <c r="I681" s="482"/>
      <c r="J681" s="500"/>
      <c r="K681" s="500"/>
    </row>
    <row r="682" spans="1:11">
      <c r="A682" s="481"/>
      <c r="B682" s="481"/>
      <c r="C682" s="481"/>
      <c r="D682" s="1313" t="s">
        <v>123</v>
      </c>
      <c r="E682" s="1313"/>
      <c r="F682" s="1313"/>
      <c r="H682" s="500"/>
      <c r="I682" s="482"/>
      <c r="J682" s="500"/>
      <c r="K682" s="500"/>
    </row>
    <row r="683" spans="1:11">
      <c r="A683" s="482"/>
      <c r="B683" s="482"/>
      <c r="C683" s="482"/>
      <c r="D683" s="1303" t="s">
        <v>1077</v>
      </c>
      <c r="E683" s="1303"/>
      <c r="F683" s="1303"/>
      <c r="H683" s="500"/>
      <c r="I683" s="482"/>
      <c r="J683" s="500"/>
      <c r="K683" s="500"/>
    </row>
    <row r="684" spans="1:11">
      <c r="A684" s="482"/>
      <c r="B684" s="482"/>
      <c r="C684" s="482"/>
      <c r="H684" s="500"/>
      <c r="I684" s="482"/>
      <c r="J684" s="500"/>
      <c r="K684" s="500"/>
    </row>
    <row r="685" spans="1:11" ht="14.25">
      <c r="A685" s="483"/>
      <c r="B685" s="484" t="s">
        <v>2671</v>
      </c>
      <c r="C685" s="482"/>
      <c r="D685" s="1303" t="s">
        <v>886</v>
      </c>
      <c r="E685" s="1303"/>
      <c r="F685" s="1303"/>
      <c r="H685" s="500"/>
      <c r="I685" s="482"/>
      <c r="J685" s="500"/>
      <c r="K685" s="500"/>
    </row>
    <row r="686" spans="1:11">
      <c r="A686" s="482"/>
      <c r="B686" s="482"/>
      <c r="C686" s="482"/>
      <c r="D686" s="1303" t="s">
        <v>895</v>
      </c>
      <c r="E686" s="1303"/>
      <c r="F686" s="1303"/>
      <c r="H686" s="500"/>
      <c r="I686" s="482"/>
      <c r="J686" s="500"/>
      <c r="K686" s="500"/>
    </row>
    <row r="687" spans="1:11" ht="12.75" customHeight="1">
      <c r="A687" s="482"/>
      <c r="B687" s="482"/>
      <c r="C687" s="482"/>
      <c r="E687" s="1035" t="s">
        <v>1914</v>
      </c>
      <c r="F687" s="419"/>
      <c r="H687" s="500"/>
      <c r="I687" s="482"/>
      <c r="J687" s="500"/>
      <c r="K687" s="500"/>
    </row>
    <row r="688" spans="1:11">
      <c r="A688" s="482"/>
      <c r="B688" s="482"/>
      <c r="C688" s="482"/>
      <c r="E688" s="500" t="s">
        <v>1913</v>
      </c>
      <c r="F688" s="419"/>
      <c r="I688" s="482"/>
      <c r="J688" s="500"/>
      <c r="K688" s="500"/>
    </row>
    <row r="689" spans="1:11">
      <c r="A689" s="482"/>
      <c r="B689" s="482"/>
      <c r="C689" s="482"/>
      <c r="D689" s="501"/>
      <c r="E689" s="445"/>
      <c r="H689" s="500"/>
      <c r="I689" s="482"/>
      <c r="J689" s="500"/>
      <c r="K689" s="500"/>
    </row>
    <row r="690" spans="1:11" ht="14.25">
      <c r="A690" s="483"/>
      <c r="B690" s="484" t="s">
        <v>2671</v>
      </c>
      <c r="C690" s="482"/>
      <c r="D690" s="1305" t="s">
        <v>2069</v>
      </c>
      <c r="E690" s="1305"/>
      <c r="F690" s="1305"/>
      <c r="H690" s="500"/>
      <c r="I690" s="482"/>
      <c r="J690" s="500"/>
      <c r="K690" s="500"/>
    </row>
    <row r="691" spans="1:11">
      <c r="A691" s="489"/>
      <c r="B691" s="489"/>
      <c r="C691" s="482"/>
      <c r="D691" s="1305"/>
      <c r="E691" s="1305"/>
      <c r="F691" s="1305"/>
      <c r="H691" s="500"/>
      <c r="I691" s="482"/>
      <c r="J691" s="500"/>
      <c r="K691" s="500"/>
    </row>
    <row r="692" spans="1:11">
      <c r="A692" s="482"/>
      <c r="B692" s="482"/>
      <c r="C692" s="482"/>
      <c r="D692" s="1305"/>
      <c r="E692" s="1305"/>
      <c r="F692" s="1305"/>
      <c r="H692" s="500"/>
      <c r="I692" s="482"/>
      <c r="J692" s="500"/>
      <c r="K692" s="500"/>
    </row>
    <row r="693" spans="1:11">
      <c r="A693" s="482"/>
      <c r="B693" s="482"/>
      <c r="C693" s="482"/>
      <c r="H693" s="500"/>
      <c r="J693" s="500"/>
      <c r="K693" s="500"/>
    </row>
    <row r="694" spans="1:11" ht="14.25">
      <c r="A694" s="483"/>
      <c r="B694" s="484" t="s">
        <v>2744</v>
      </c>
      <c r="C694" s="482"/>
      <c r="D694" s="1303" t="s">
        <v>918</v>
      </c>
      <c r="E694" s="1303"/>
      <c r="F694" s="1303"/>
      <c r="H694" s="500"/>
      <c r="I694" s="482"/>
      <c r="J694" s="500"/>
      <c r="K694" s="500"/>
    </row>
    <row r="695" spans="1:11" ht="14.25">
      <c r="A695" s="483"/>
      <c r="B695" s="483"/>
      <c r="C695" s="482"/>
      <c r="D695" s="1303" t="s">
        <v>895</v>
      </c>
      <c r="E695" s="1303"/>
      <c r="F695" s="1303"/>
      <c r="H695" s="500"/>
      <c r="I695" s="482"/>
      <c r="J695" s="500"/>
      <c r="K695" s="500"/>
    </row>
    <row r="696" spans="1:11">
      <c r="A696" s="482"/>
      <c r="B696" s="482"/>
      <c r="C696" s="482"/>
      <c r="E696" s="1035" t="s">
        <v>1915</v>
      </c>
      <c r="F696" s="403"/>
      <c r="H696" s="500"/>
      <c r="I696" s="482"/>
      <c r="J696" s="500"/>
      <c r="K696" s="500"/>
    </row>
    <row r="697" spans="1:11">
      <c r="A697" s="482"/>
      <c r="B697" s="482"/>
      <c r="C697" s="482"/>
      <c r="D697" s="403"/>
      <c r="H697" s="500"/>
      <c r="I697" s="482"/>
      <c r="J697" s="500"/>
      <c r="K697" s="500"/>
    </row>
    <row r="698" spans="1:11" ht="14.25">
      <c r="A698" s="483"/>
      <c r="B698" s="484" t="s">
        <v>2671</v>
      </c>
      <c r="C698" s="482"/>
      <c r="D698" s="1303" t="s">
        <v>2471</v>
      </c>
      <c r="E698" s="1303"/>
      <c r="F698" s="1303"/>
      <c r="H698" s="500"/>
      <c r="I698" s="482"/>
      <c r="J698" s="500"/>
      <c r="K698" s="500"/>
    </row>
    <row r="699" spans="1:11" ht="14.25">
      <c r="A699" s="483"/>
      <c r="B699" s="483"/>
      <c r="C699" s="482"/>
      <c r="D699" s="1303" t="s">
        <v>895</v>
      </c>
      <c r="E699" s="1303"/>
      <c r="F699" s="1303"/>
      <c r="H699" s="500"/>
      <c r="I699" s="482"/>
      <c r="J699" s="500"/>
      <c r="K699" s="500"/>
    </row>
    <row r="700" spans="1:11">
      <c r="A700" s="482"/>
      <c r="B700" s="482"/>
      <c r="C700" s="482"/>
      <c r="E700" s="1035" t="s">
        <v>2472</v>
      </c>
      <c r="F700" s="403"/>
      <c r="H700" s="500"/>
      <c r="I700" s="482"/>
      <c r="J700" s="500"/>
      <c r="K700" s="500"/>
    </row>
    <row r="701" spans="1:11">
      <c r="A701" s="482"/>
      <c r="B701" s="482"/>
      <c r="C701" s="482"/>
      <c r="D701" s="403"/>
      <c r="H701" s="500"/>
      <c r="I701" s="482"/>
      <c r="J701" s="500"/>
      <c r="K701" s="500"/>
    </row>
    <row r="702" spans="1:11" ht="14.25">
      <c r="A702" s="483"/>
      <c r="B702" s="484" t="s">
        <v>2744</v>
      </c>
      <c r="C702" s="482"/>
      <c r="D702" s="1305" t="s">
        <v>2246</v>
      </c>
      <c r="E702" s="1305"/>
      <c r="F702" s="1305"/>
      <c r="H702" s="500"/>
      <c r="I702" s="482"/>
      <c r="J702" s="500"/>
      <c r="K702" s="500"/>
    </row>
    <row r="703" spans="1:11">
      <c r="A703" s="482"/>
      <c r="B703" s="482"/>
      <c r="C703" s="482"/>
      <c r="D703" s="1305"/>
      <c r="E703" s="1305"/>
      <c r="F703" s="1305"/>
      <c r="H703" s="500"/>
      <c r="I703" s="482"/>
      <c r="J703" s="500"/>
      <c r="K703" s="500"/>
    </row>
    <row r="704" spans="1:11">
      <c r="A704" s="482"/>
      <c r="B704" s="482"/>
      <c r="C704" s="482"/>
      <c r="D704" s="1305"/>
      <c r="E704" s="1305"/>
      <c r="F704" s="1305"/>
      <c r="H704" s="500"/>
      <c r="I704" s="482"/>
      <c r="J704" s="500"/>
      <c r="K704" s="500"/>
    </row>
    <row r="705" spans="1:11">
      <c r="A705" s="482"/>
      <c r="B705" s="482"/>
      <c r="C705" s="482"/>
      <c r="D705" s="1305"/>
      <c r="E705" s="1305"/>
      <c r="F705" s="1305"/>
      <c r="H705" s="500"/>
      <c r="I705" s="482"/>
      <c r="J705" s="500"/>
      <c r="K705" s="500"/>
    </row>
    <row r="706" spans="1:11">
      <c r="A706" s="482"/>
      <c r="B706" s="482"/>
      <c r="C706" s="482"/>
      <c r="D706" s="1305"/>
      <c r="E706" s="1305"/>
      <c r="F706" s="1305"/>
      <c r="H706" s="500"/>
      <c r="I706" s="482"/>
      <c r="J706" s="500"/>
      <c r="K706" s="500"/>
    </row>
    <row r="707" spans="1:11">
      <c r="A707" s="482"/>
      <c r="B707" s="482"/>
      <c r="C707" s="482"/>
      <c r="D707" s="1305"/>
      <c r="E707" s="1305"/>
      <c r="F707" s="1305"/>
      <c r="H707" s="500"/>
      <c r="I707" s="482"/>
      <c r="J707" s="500"/>
      <c r="K707" s="500"/>
    </row>
    <row r="708" spans="1:11">
      <c r="A708" s="482"/>
      <c r="B708" s="482"/>
      <c r="C708" s="482"/>
      <c r="D708" s="444"/>
      <c r="E708" s="444"/>
      <c r="F708" s="444"/>
      <c r="H708" s="500"/>
      <c r="I708" s="482"/>
      <c r="J708" s="500"/>
      <c r="K708" s="500"/>
    </row>
    <row r="709" spans="1:11">
      <c r="A709" s="482"/>
      <c r="B709" s="484" t="s">
        <v>2744</v>
      </c>
      <c r="C709" s="482"/>
      <c r="D709" s="1305" t="s">
        <v>1202</v>
      </c>
      <c r="E709" s="1305"/>
      <c r="F709" s="1305"/>
      <c r="H709" s="500"/>
      <c r="I709" s="482"/>
      <c r="J709" s="500"/>
      <c r="K709" s="500"/>
    </row>
    <row r="710" spans="1:11">
      <c r="A710" s="482"/>
      <c r="B710" s="482"/>
      <c r="C710" s="482"/>
      <c r="D710" s="1305"/>
      <c r="E710" s="1305"/>
      <c r="F710" s="1305"/>
      <c r="H710" s="500"/>
      <c r="I710" s="482"/>
      <c r="J710" s="500"/>
      <c r="K710" s="500"/>
    </row>
    <row r="711" spans="1:11">
      <c r="A711" s="482"/>
      <c r="B711" s="482"/>
      <c r="C711" s="482"/>
      <c r="D711" s="444"/>
      <c r="E711" s="444"/>
      <c r="F711" s="444"/>
      <c r="H711" s="500"/>
      <c r="I711" s="482"/>
      <c r="J711" s="500"/>
      <c r="K711" s="500"/>
    </row>
    <row r="712" spans="1:11" ht="14.25">
      <c r="A712" s="483"/>
      <c r="B712" s="484" t="s">
        <v>2671</v>
      </c>
      <c r="C712" s="482"/>
      <c r="D712" s="1305" t="s">
        <v>1078</v>
      </c>
      <c r="E712" s="1305"/>
      <c r="F712" s="1305"/>
      <c r="H712" s="500"/>
      <c r="I712" s="482"/>
      <c r="J712" s="500"/>
      <c r="K712" s="500"/>
    </row>
    <row r="713" spans="1:11">
      <c r="A713" s="482"/>
      <c r="B713" s="482"/>
      <c r="C713" s="482"/>
      <c r="D713" s="1305"/>
      <c r="E713" s="1305"/>
      <c r="F713" s="1305"/>
      <c r="H713" s="500"/>
      <c r="I713" s="482"/>
      <c r="J713" s="500"/>
      <c r="K713" s="500"/>
    </row>
    <row r="714" spans="1:11">
      <c r="A714" s="482"/>
      <c r="B714" s="482"/>
      <c r="C714" s="482"/>
      <c r="D714" s="1305"/>
      <c r="E714" s="1305"/>
      <c r="F714" s="1305"/>
      <c r="H714" s="500"/>
      <c r="I714" s="482"/>
      <c r="J714" s="500"/>
      <c r="K714" s="500"/>
    </row>
    <row r="715" spans="1:11" ht="15" customHeight="1">
      <c r="A715" s="482"/>
      <c r="B715" s="482"/>
      <c r="C715" s="482"/>
      <c r="D715" s="1305"/>
      <c r="E715" s="1305"/>
      <c r="F715" s="1305"/>
      <c r="H715" s="500"/>
      <c r="I715" s="482"/>
      <c r="J715" s="500"/>
      <c r="K715" s="500"/>
    </row>
    <row r="716" spans="1:11" ht="15" customHeight="1">
      <c r="A716" s="482"/>
      <c r="B716" s="482"/>
      <c r="C716" s="482"/>
      <c r="D716" s="1305"/>
      <c r="E716" s="1305"/>
      <c r="F716" s="1305"/>
      <c r="H716" s="500"/>
      <c r="I716" s="482"/>
      <c r="J716" s="500"/>
      <c r="K716" s="500"/>
    </row>
    <row r="717" spans="1:11">
      <c r="A717" s="482"/>
      <c r="B717" s="482"/>
      <c r="C717" s="482"/>
      <c r="D717" s="1305"/>
      <c r="E717" s="1305"/>
      <c r="F717" s="1305"/>
      <c r="H717" s="500"/>
      <c r="I717" s="482"/>
      <c r="J717" s="500"/>
      <c r="K717" s="500"/>
    </row>
    <row r="718" spans="1:11">
      <c r="A718" s="482"/>
      <c r="B718" s="482"/>
      <c r="C718" s="482"/>
      <c r="D718" s="1305"/>
      <c r="E718" s="1305"/>
      <c r="F718" s="1305"/>
      <c r="H718" s="500"/>
      <c r="I718" s="482"/>
      <c r="J718" s="500"/>
      <c r="K718" s="500"/>
    </row>
    <row r="719" spans="1:11">
      <c r="A719" s="482"/>
      <c r="B719" s="482"/>
      <c r="C719" s="482"/>
      <c r="D719" s="1305"/>
      <c r="E719" s="1305"/>
      <c r="F719" s="1305"/>
      <c r="H719" s="500"/>
      <c r="I719" s="482"/>
      <c r="J719" s="500"/>
      <c r="K719" s="500"/>
    </row>
    <row r="720" spans="1:11" ht="15" customHeight="1">
      <c r="A720" s="482"/>
      <c r="B720" s="482"/>
      <c r="C720" s="482"/>
      <c r="D720" s="1305"/>
      <c r="E720" s="1305"/>
      <c r="F720" s="1305"/>
      <c r="H720" s="500"/>
      <c r="I720" s="482"/>
      <c r="J720" s="500"/>
      <c r="K720" s="500"/>
    </row>
    <row r="721" spans="1:11">
      <c r="A721" s="482"/>
      <c r="B721" s="482"/>
      <c r="C721" s="482"/>
      <c r="D721" s="1305"/>
      <c r="E721" s="1305"/>
      <c r="F721" s="1305"/>
      <c r="H721" s="500"/>
      <c r="I721" s="482"/>
      <c r="J721" s="500"/>
      <c r="K721" s="500"/>
    </row>
    <row r="722" spans="1:11">
      <c r="A722" s="482"/>
      <c r="B722" s="482"/>
      <c r="C722" s="482"/>
      <c r="D722" s="1305"/>
      <c r="E722" s="1305"/>
      <c r="F722" s="1305"/>
      <c r="H722" s="500"/>
      <c r="I722" s="482"/>
      <c r="J722" s="500"/>
      <c r="K722" s="500"/>
    </row>
    <row r="723" spans="1:11">
      <c r="A723" s="482"/>
      <c r="B723" s="482"/>
      <c r="C723" s="482"/>
      <c r="D723" s="1305"/>
      <c r="E723" s="1305"/>
      <c r="F723" s="1305"/>
      <c r="H723" s="500"/>
      <c r="I723" s="482"/>
      <c r="J723" s="500"/>
      <c r="K723" s="500"/>
    </row>
    <row r="724" spans="1:11">
      <c r="A724" s="482"/>
      <c r="B724" s="482"/>
      <c r="C724" s="482"/>
      <c r="D724" s="1305"/>
      <c r="E724" s="1305"/>
      <c r="F724" s="1305"/>
      <c r="H724" s="500"/>
      <c r="I724" s="482"/>
      <c r="J724" s="500"/>
      <c r="K724" s="500"/>
    </row>
    <row r="725" spans="1:11">
      <c r="A725" s="482"/>
      <c r="B725" s="484" t="s">
        <v>2671</v>
      </c>
      <c r="C725" s="482"/>
      <c r="D725" s="1305" t="s">
        <v>2464</v>
      </c>
      <c r="E725" s="1305"/>
      <c r="F725" s="1305"/>
      <c r="H725" s="500"/>
      <c r="I725" s="482"/>
      <c r="J725" s="500"/>
      <c r="K725" s="500"/>
    </row>
    <row r="726" spans="1:11">
      <c r="A726" s="482"/>
      <c r="B726" s="482"/>
      <c r="C726" s="482"/>
      <c r="D726" s="1305"/>
      <c r="E726" s="1305"/>
      <c r="F726" s="1305"/>
      <c r="H726" s="500"/>
      <c r="I726" s="482"/>
      <c r="J726" s="500"/>
      <c r="K726" s="500"/>
    </row>
    <row r="727" spans="1:11">
      <c r="A727" s="482"/>
      <c r="B727" s="482"/>
      <c r="C727" s="482"/>
      <c r="D727" s="1305"/>
      <c r="E727" s="1305"/>
      <c r="F727" s="1305"/>
      <c r="H727" s="500"/>
      <c r="I727" s="482"/>
      <c r="J727" s="500"/>
      <c r="K727" s="500"/>
    </row>
    <row r="728" spans="1:11">
      <c r="A728" s="482"/>
      <c r="B728" s="482"/>
      <c r="C728" s="482"/>
      <c r="D728" s="444"/>
      <c r="E728" s="444"/>
      <c r="F728" s="444"/>
      <c r="H728" s="500"/>
      <c r="I728" s="482"/>
      <c r="J728" s="500"/>
      <c r="K728" s="500"/>
    </row>
    <row r="729" spans="1:11">
      <c r="A729" s="482"/>
      <c r="B729" s="484" t="s">
        <v>2671</v>
      </c>
      <c r="C729" s="482"/>
      <c r="D729" s="1305" t="s">
        <v>2463</v>
      </c>
      <c r="E729" s="1305"/>
      <c r="F729" s="1305"/>
      <c r="H729" s="500"/>
      <c r="I729" s="482"/>
      <c r="J729" s="500"/>
      <c r="K729" s="500"/>
    </row>
    <row r="730" spans="1:11">
      <c r="A730" s="482"/>
      <c r="B730" s="482"/>
      <c r="C730" s="482"/>
      <c r="D730" s="1305"/>
      <c r="E730" s="1305"/>
      <c r="F730" s="1305"/>
      <c r="H730" s="500"/>
      <c r="I730" s="482"/>
      <c r="J730" s="500"/>
      <c r="K730" s="500"/>
    </row>
    <row r="731" spans="1:11">
      <c r="A731" s="482"/>
      <c r="B731" s="482"/>
      <c r="C731" s="482"/>
      <c r="D731" s="1305"/>
      <c r="E731" s="1305"/>
      <c r="F731" s="1305"/>
      <c r="H731" s="500"/>
      <c r="I731" s="482"/>
      <c r="J731" s="500"/>
      <c r="K731" s="500"/>
    </row>
    <row r="732" spans="1:11">
      <c r="A732" s="482"/>
      <c r="B732" s="482"/>
      <c r="C732" s="482"/>
      <c r="H732" s="500"/>
      <c r="I732" s="482"/>
      <c r="J732" s="500"/>
      <c r="K732" s="500"/>
    </row>
    <row r="733" spans="1:11">
      <c r="A733" s="482"/>
      <c r="B733" s="484" t="s">
        <v>2671</v>
      </c>
      <c r="C733" s="482"/>
      <c r="D733" s="1305" t="s">
        <v>2462</v>
      </c>
      <c r="E733" s="1305"/>
      <c r="F733" s="1305"/>
      <c r="H733" s="500"/>
      <c r="I733" s="482"/>
      <c r="J733" s="500"/>
      <c r="K733" s="500"/>
    </row>
    <row r="734" spans="1:11">
      <c r="A734" s="482"/>
      <c r="B734" s="482"/>
      <c r="C734" s="482"/>
      <c r="D734" s="1305"/>
      <c r="E734" s="1305"/>
      <c r="F734" s="1305"/>
      <c r="H734" s="500"/>
      <c r="I734" s="482"/>
      <c r="J734" s="500"/>
      <c r="K734" s="500"/>
    </row>
    <row r="735" spans="1:11">
      <c r="A735" s="482"/>
      <c r="B735" s="482"/>
      <c r="C735" s="482"/>
      <c r="D735" s="1305"/>
      <c r="E735" s="1305"/>
      <c r="F735" s="1305"/>
      <c r="H735" s="500"/>
      <c r="I735" s="482"/>
      <c r="J735" s="500"/>
      <c r="K735" s="500"/>
    </row>
    <row r="736" spans="1:11">
      <c r="A736" s="482"/>
      <c r="B736" s="482"/>
      <c r="C736" s="482"/>
      <c r="D736" s="1305"/>
      <c r="E736" s="1305"/>
      <c r="F736" s="1305"/>
      <c r="H736" s="500"/>
      <c r="I736" s="482"/>
      <c r="J736" s="500"/>
      <c r="K736" s="500"/>
    </row>
    <row r="737" spans="1:11">
      <c r="A737" s="482"/>
      <c r="B737" s="482"/>
      <c r="C737" s="482"/>
      <c r="H737" s="500"/>
      <c r="I737" s="482"/>
      <c r="J737" s="500"/>
      <c r="K737" s="500"/>
    </row>
    <row r="738" spans="1:11" ht="14.25">
      <c r="A738" s="483"/>
      <c r="B738" s="484" t="s">
        <v>2671</v>
      </c>
      <c r="C738" s="482"/>
      <c r="D738" s="1305" t="s">
        <v>1079</v>
      </c>
      <c r="E738" s="1305"/>
      <c r="F738" s="1305"/>
      <c r="H738" s="500"/>
      <c r="I738" s="482"/>
      <c r="J738" s="500"/>
      <c r="K738" s="500"/>
    </row>
    <row r="739" spans="1:11">
      <c r="A739" s="482"/>
      <c r="B739" s="482"/>
      <c r="C739" s="482"/>
      <c r="D739" s="1305"/>
      <c r="E739" s="1305"/>
      <c r="F739" s="1305"/>
      <c r="H739" s="500"/>
      <c r="I739" s="482"/>
      <c r="J739" s="500"/>
      <c r="K739" s="500"/>
    </row>
    <row r="740" spans="1:11">
      <c r="A740" s="482"/>
      <c r="B740" s="482"/>
      <c r="C740" s="482"/>
      <c r="D740" s="1305"/>
      <c r="E740" s="1305"/>
      <c r="F740" s="1305"/>
      <c r="H740" s="500"/>
      <c r="I740" s="482"/>
      <c r="J740" s="500"/>
      <c r="K740" s="500"/>
    </row>
    <row r="741" spans="1:11">
      <c r="A741" s="482"/>
      <c r="B741" s="482"/>
      <c r="C741" s="482"/>
      <c r="D741" s="1305"/>
      <c r="E741" s="1305"/>
      <c r="F741" s="1305"/>
      <c r="H741" s="500"/>
      <c r="I741" s="482"/>
      <c r="J741" s="500"/>
      <c r="K741" s="500"/>
    </row>
    <row r="742" spans="1:11">
      <c r="A742" s="482"/>
      <c r="B742" s="482"/>
      <c r="C742" s="482"/>
      <c r="D742" s="1305"/>
      <c r="E742" s="1305"/>
      <c r="F742" s="1305"/>
      <c r="H742" s="500"/>
      <c r="I742" s="482"/>
      <c r="J742" s="500"/>
      <c r="K742" s="500"/>
    </row>
    <row r="743" spans="1:11">
      <c r="A743" s="482"/>
      <c r="B743" s="482"/>
      <c r="C743" s="482"/>
      <c r="D743" s="491"/>
      <c r="H743" s="500"/>
      <c r="I743" s="482"/>
      <c r="J743" s="500"/>
      <c r="K743" s="500"/>
    </row>
    <row r="744" spans="1:11" ht="14.25">
      <c r="A744" s="483"/>
      <c r="B744" s="484" t="s">
        <v>2671</v>
      </c>
      <c r="C744" s="482"/>
      <c r="D744" s="1305" t="s">
        <v>2147</v>
      </c>
      <c r="E744" s="1305"/>
      <c r="F744" s="1305"/>
      <c r="H744" s="500"/>
      <c r="I744" s="482"/>
      <c r="J744" s="500"/>
      <c r="K744" s="500"/>
    </row>
    <row r="745" spans="1:11">
      <c r="A745" s="482"/>
      <c r="B745" s="482"/>
      <c r="C745" s="482"/>
      <c r="D745" s="1305"/>
      <c r="E745" s="1305"/>
      <c r="F745" s="1305"/>
      <c r="H745" s="500"/>
      <c r="I745" s="482"/>
      <c r="J745" s="500"/>
      <c r="K745" s="500"/>
    </row>
    <row r="746" spans="1:11">
      <c r="A746" s="482"/>
      <c r="B746" s="482"/>
      <c r="C746" s="482"/>
      <c r="D746" s="1305"/>
      <c r="E746" s="1305"/>
      <c r="F746" s="1305"/>
      <c r="H746" s="500"/>
      <c r="I746" s="482"/>
      <c r="J746" s="500"/>
      <c r="K746" s="500"/>
    </row>
    <row r="747" spans="1:11">
      <c r="A747" s="482"/>
      <c r="B747" s="482"/>
      <c r="C747" s="482"/>
      <c r="D747" s="1305"/>
      <c r="E747" s="1305"/>
      <c r="F747" s="1305"/>
      <c r="H747" s="500"/>
      <c r="I747" s="482"/>
      <c r="J747" s="500"/>
      <c r="K747" s="500"/>
    </row>
    <row r="748" spans="1:11">
      <c r="A748" s="482"/>
      <c r="B748" s="482"/>
      <c r="C748" s="482"/>
      <c r="D748" s="1305"/>
      <c r="E748" s="1305"/>
      <c r="F748" s="1305"/>
      <c r="H748" s="500"/>
      <c r="I748" s="482"/>
      <c r="J748" s="500"/>
      <c r="K748" s="500"/>
    </row>
    <row r="749" spans="1:11">
      <c r="A749" s="482"/>
      <c r="B749" s="482"/>
      <c r="C749" s="482"/>
      <c r="D749" s="1305"/>
      <c r="E749" s="1305"/>
      <c r="F749" s="1305"/>
      <c r="H749" s="500"/>
      <c r="I749" s="482"/>
      <c r="J749" s="500"/>
      <c r="K749" s="500"/>
    </row>
    <row r="750" spans="1:11">
      <c r="A750" s="482"/>
      <c r="B750" s="482"/>
      <c r="C750" s="482"/>
      <c r="D750" s="1305"/>
      <c r="E750" s="1305"/>
      <c r="F750" s="1305"/>
      <c r="H750" s="500"/>
      <c r="I750" s="482"/>
      <c r="J750" s="500"/>
      <c r="K750" s="500"/>
    </row>
    <row r="751" spans="1:11">
      <c r="A751" s="482"/>
      <c r="B751" s="482"/>
      <c r="C751" s="482"/>
      <c r="D751" s="1306" t="s">
        <v>2076</v>
      </c>
      <c r="E751" s="1306"/>
      <c r="F751" s="1306"/>
      <c r="H751" s="500"/>
      <c r="I751" s="482"/>
      <c r="J751" s="500"/>
      <c r="K751" s="500"/>
    </row>
    <row r="752" spans="1:11">
      <c r="A752" s="482"/>
      <c r="B752" s="482"/>
      <c r="C752" s="482"/>
      <c r="D752" s="340"/>
      <c r="H752" s="500"/>
      <c r="I752" s="482"/>
      <c r="J752" s="500"/>
      <c r="K752" s="500"/>
    </row>
    <row r="753" spans="1:11">
      <c r="A753" s="1304" t="s">
        <v>1061</v>
      </c>
      <c r="B753" s="1304"/>
      <c r="C753" s="1304"/>
      <c r="D753" s="1304"/>
      <c r="E753" s="1304"/>
      <c r="F753" s="1304"/>
      <c r="G753" s="1304"/>
      <c r="H753" s="1029"/>
      <c r="I753" s="1156"/>
      <c r="J753" s="500"/>
      <c r="K753" s="500"/>
    </row>
    <row r="754" spans="1:11">
      <c r="A754" s="482"/>
      <c r="B754" s="482"/>
      <c r="C754" s="482"/>
      <c r="D754" s="491"/>
      <c r="G754" s="500"/>
      <c r="H754" s="500"/>
      <c r="I754" s="482"/>
      <c r="J754" s="500"/>
      <c r="K754" s="500"/>
    </row>
    <row r="755" spans="1:11" ht="13.7" customHeight="1">
      <c r="C755" s="482"/>
      <c r="D755" s="1321" t="s">
        <v>1071</v>
      </c>
      <c r="E755" s="1321"/>
      <c r="F755" s="1321"/>
      <c r="G755" s="500"/>
      <c r="H755" s="500"/>
      <c r="I755" s="482"/>
      <c r="J755" s="500"/>
      <c r="K755" s="500"/>
    </row>
    <row r="756" spans="1:11">
      <c r="A756" s="482"/>
      <c r="B756" s="482"/>
      <c r="C756" s="482"/>
      <c r="D756" s="1307" t="s">
        <v>1072</v>
      </c>
      <c r="E756" s="1307"/>
      <c r="F756" s="1307"/>
      <c r="G756" s="500"/>
      <c r="H756" s="500"/>
      <c r="I756" s="482"/>
      <c r="J756" s="500"/>
      <c r="K756" s="500"/>
    </row>
    <row r="757" spans="1:11">
      <c r="A757" s="482"/>
      <c r="B757" s="482"/>
      <c r="C757" s="482"/>
      <c r="G757" s="500"/>
      <c r="H757" s="500"/>
      <c r="I757" s="482"/>
      <c r="J757" s="500"/>
      <c r="K757" s="500"/>
    </row>
    <row r="758" spans="1:11" ht="14.25">
      <c r="A758" s="483"/>
      <c r="B758" s="484" t="s">
        <v>2744</v>
      </c>
      <c r="D758" s="1305" t="s">
        <v>1073</v>
      </c>
      <c r="E758" s="1305"/>
      <c r="F758" s="1305"/>
      <c r="G758" s="500"/>
      <c r="H758" s="500"/>
      <c r="I758" s="482"/>
      <c r="J758" s="500"/>
      <c r="K758" s="500"/>
    </row>
    <row r="759" spans="1:11" ht="10.5" customHeight="1">
      <c r="D759" s="1305"/>
      <c r="E759" s="1305"/>
      <c r="F759" s="1305"/>
      <c r="G759" s="500"/>
      <c r="H759" s="500"/>
      <c r="I759" s="482"/>
      <c r="J759" s="500"/>
      <c r="K759" s="500"/>
    </row>
    <row r="760" spans="1:11">
      <c r="D760" s="1305"/>
      <c r="E760" s="1305"/>
      <c r="F760" s="1305"/>
      <c r="G760" s="500"/>
      <c r="H760" s="500"/>
      <c r="I760" s="482"/>
      <c r="J760" s="500"/>
      <c r="K760" s="500"/>
    </row>
    <row r="761" spans="1:11">
      <c r="D761" s="1305"/>
      <c r="E761" s="1305"/>
      <c r="F761" s="1305"/>
      <c r="G761" s="500"/>
      <c r="H761" s="500"/>
      <c r="I761" s="482"/>
      <c r="J761" s="500"/>
      <c r="K761" s="500"/>
    </row>
    <row r="762" spans="1:11">
      <c r="D762" s="1305"/>
      <c r="E762" s="1305"/>
      <c r="F762" s="1305"/>
      <c r="G762" s="500"/>
      <c r="H762" s="500"/>
      <c r="I762" s="482"/>
      <c r="J762" s="500"/>
      <c r="K762" s="500"/>
    </row>
    <row r="763" spans="1:11" ht="15.6" customHeight="1">
      <c r="D763" s="1305"/>
      <c r="E763" s="1305"/>
      <c r="F763" s="1305"/>
      <c r="G763" s="500"/>
      <c r="H763" s="500"/>
      <c r="I763" s="482"/>
      <c r="J763" s="500"/>
      <c r="K763" s="500"/>
    </row>
    <row r="764" spans="1:11">
      <c r="D764" s="498"/>
      <c r="E764" s="445"/>
      <c r="F764" s="445"/>
      <c r="G764" s="500"/>
      <c r="H764" s="500"/>
      <c r="I764" s="482"/>
      <c r="J764" s="500"/>
      <c r="K764" s="500"/>
    </row>
    <row r="765" spans="1:11" s="504" customFormat="1" ht="14.25">
      <c r="A765" s="502"/>
      <c r="B765" s="484" t="s">
        <v>2744</v>
      </c>
      <c r="C765" s="503"/>
      <c r="D765" s="1305" t="s">
        <v>1242</v>
      </c>
      <c r="E765" s="1305"/>
      <c r="F765" s="1305"/>
      <c r="I765" s="1157"/>
    </row>
    <row r="766" spans="1:11" s="504" customFormat="1">
      <c r="A766" s="503"/>
      <c r="B766" s="503"/>
      <c r="C766" s="503"/>
      <c r="D766" s="1305"/>
      <c r="E766" s="1305"/>
      <c r="F766" s="1305"/>
      <c r="I766" s="1157"/>
    </row>
    <row r="767" spans="1:11" s="504" customFormat="1">
      <c r="A767" s="503"/>
      <c r="B767" s="503"/>
      <c r="C767" s="503"/>
      <c r="D767" s="1305"/>
      <c r="E767" s="1305"/>
      <c r="F767" s="1305"/>
      <c r="I767" s="1157"/>
    </row>
    <row r="768" spans="1:11" s="504" customFormat="1">
      <c r="A768" s="503"/>
      <c r="B768" s="503"/>
      <c r="C768" s="503"/>
      <c r="D768" s="1305"/>
      <c r="E768" s="1305"/>
      <c r="F768" s="1305"/>
      <c r="I768" s="1157"/>
    </row>
    <row r="769" spans="1:11" s="504" customFormat="1">
      <c r="A769" s="503"/>
      <c r="B769" s="503"/>
      <c r="C769" s="503"/>
      <c r="D769" s="498"/>
      <c r="I769" s="1157"/>
    </row>
    <row r="770" spans="1:11" s="504" customFormat="1" ht="14.25">
      <c r="A770" s="483"/>
      <c r="B770" s="484" t="s">
        <v>2744</v>
      </c>
      <c r="C770" s="503"/>
      <c r="D770" s="1311" t="s">
        <v>1243</v>
      </c>
      <c r="E770" s="1311"/>
      <c r="F770" s="1311"/>
      <c r="I770" s="1157"/>
    </row>
    <row r="771" spans="1:11" s="504" customFormat="1">
      <c r="A771" s="503"/>
      <c r="B771" s="503"/>
      <c r="C771" s="503"/>
      <c r="D771" s="1311"/>
      <c r="E771" s="1311"/>
      <c r="F771" s="1311"/>
      <c r="I771" s="1157"/>
    </row>
    <row r="772" spans="1:11" s="504" customFormat="1">
      <c r="A772" s="503"/>
      <c r="B772" s="503"/>
      <c r="C772" s="503"/>
      <c r="D772" s="1311"/>
      <c r="E772" s="1311"/>
      <c r="F772" s="1311"/>
      <c r="I772" s="1157"/>
    </row>
    <row r="773" spans="1:11">
      <c r="D773" s="498"/>
      <c r="E773" s="445"/>
      <c r="F773" s="445"/>
      <c r="G773" s="500"/>
      <c r="H773" s="500"/>
      <c r="I773" s="482"/>
      <c r="J773" s="500"/>
      <c r="K773" s="500"/>
    </row>
    <row r="774" spans="1:11" ht="14.25">
      <c r="A774" s="483"/>
      <c r="B774" s="484" t="s">
        <v>2671</v>
      </c>
      <c r="D774" s="1305" t="s">
        <v>1199</v>
      </c>
      <c r="E774" s="1305"/>
      <c r="F774" s="1305"/>
      <c r="G774" s="500"/>
      <c r="H774" s="500"/>
      <c r="I774" s="482"/>
      <c r="J774" s="500"/>
      <c r="K774" s="500"/>
    </row>
    <row r="775" spans="1:11">
      <c r="D775" s="1305"/>
      <c r="E775" s="1305"/>
      <c r="F775" s="1305"/>
      <c r="G775" s="500"/>
      <c r="H775" s="500"/>
      <c r="I775" s="482"/>
      <c r="J775" s="500"/>
      <c r="K775" s="500"/>
    </row>
    <row r="776" spans="1:11">
      <c r="D776" s="444"/>
      <c r="E776" s="444"/>
      <c r="F776" s="444"/>
      <c r="G776" s="500"/>
      <c r="H776" s="500"/>
      <c r="I776" s="482"/>
      <c r="J776" s="500"/>
      <c r="K776" s="500"/>
    </row>
    <row r="777" spans="1:11">
      <c r="B777" s="484" t="s">
        <v>2671</v>
      </c>
      <c r="D777" s="1305" t="s">
        <v>1216</v>
      </c>
      <c r="E777" s="1305"/>
      <c r="F777" s="1305"/>
      <c r="G777" s="500"/>
      <c r="H777" s="500"/>
      <c r="I777" s="482"/>
      <c r="J777" s="500"/>
      <c r="K777" s="500"/>
    </row>
    <row r="778" spans="1:11">
      <c r="D778" s="1305"/>
      <c r="E778" s="1305"/>
      <c r="F778" s="1305"/>
      <c r="G778" s="500"/>
      <c r="H778" s="500"/>
      <c r="I778" s="482"/>
      <c r="J778" s="500"/>
      <c r="K778" s="500"/>
    </row>
    <row r="779" spans="1:11">
      <c r="D779" s="1305"/>
      <c r="E779" s="1305"/>
      <c r="F779" s="1305"/>
      <c r="G779" s="500"/>
      <c r="H779" s="500"/>
      <c r="I779" s="482"/>
      <c r="J779" s="500"/>
      <c r="K779" s="500"/>
    </row>
    <row r="780" spans="1:11">
      <c r="D780" s="444"/>
      <c r="E780" s="444"/>
      <c r="F780" s="444"/>
      <c r="G780" s="500"/>
      <c r="H780" s="500"/>
      <c r="I780" s="482"/>
      <c r="J780" s="500"/>
      <c r="K780" s="500"/>
    </row>
    <row r="781" spans="1:11">
      <c r="A781" s="1320" t="s">
        <v>1802</v>
      </c>
      <c r="B781" s="1320"/>
      <c r="C781" s="1320"/>
      <c r="D781" s="1320"/>
      <c r="E781" s="1320"/>
      <c r="F781" s="1320"/>
      <c r="G781" s="1320"/>
      <c r="H781" s="1027"/>
      <c r="I781" s="1152"/>
    </row>
    <row r="782" spans="1:11">
      <c r="A782" s="57"/>
      <c r="B782" s="57"/>
      <c r="C782" s="353"/>
      <c r="D782" s="3"/>
      <c r="E782" s="3"/>
      <c r="F782" s="3"/>
      <c r="G782" s="3"/>
      <c r="I782" s="489"/>
    </row>
    <row r="783" spans="1:11">
      <c r="A783" s="57"/>
      <c r="B783" s="57"/>
      <c r="C783" s="353"/>
      <c r="D783" s="1319" t="s">
        <v>1856</v>
      </c>
      <c r="E783" s="1319"/>
      <c r="F783" s="1319"/>
      <c r="G783" s="3"/>
      <c r="I783" s="489"/>
    </row>
    <row r="784" spans="1:11">
      <c r="A784" s="57"/>
      <c r="B784" s="57"/>
      <c r="C784" s="353"/>
      <c r="D784" s="1322" t="s">
        <v>1756</v>
      </c>
      <c r="E784" s="1322"/>
      <c r="F784" s="1322"/>
      <c r="G784" s="3"/>
      <c r="I784" s="489"/>
    </row>
    <row r="785" spans="1:9">
      <c r="A785" s="57"/>
      <c r="B785" s="57"/>
      <c r="C785" s="353"/>
      <c r="D785" s="446"/>
      <c r="E785" s="446"/>
      <c r="F785" s="446"/>
      <c r="G785" s="3"/>
      <c r="I785" s="489"/>
    </row>
    <row r="786" spans="1:9">
      <c r="A786" s="57"/>
      <c r="B786" s="484" t="s">
        <v>2744</v>
      </c>
      <c r="C786" s="353"/>
      <c r="D786" s="1298" t="s">
        <v>1757</v>
      </c>
      <c r="E786" s="1298"/>
      <c r="F786" s="1298"/>
      <c r="G786" s="3"/>
      <c r="I786" s="482"/>
    </row>
    <row r="787" spans="1:9">
      <c r="A787" s="57"/>
      <c r="B787" s="57"/>
      <c r="C787" s="353"/>
      <c r="D787" s="1298"/>
      <c r="E787" s="1298"/>
      <c r="F787" s="1298"/>
      <c r="G787" s="3"/>
      <c r="I787" s="489"/>
    </row>
    <row r="788" spans="1:9">
      <c r="A788" s="174"/>
      <c r="B788" s="174"/>
      <c r="C788" s="174"/>
      <c r="D788" s="1298"/>
      <c r="E788" s="1298"/>
      <c r="F788" s="1298"/>
      <c r="G788" s="118"/>
      <c r="I788" s="489"/>
    </row>
    <row r="789" spans="1:9">
      <c r="A789" s="353"/>
      <c r="B789" s="353"/>
      <c r="C789" s="353"/>
      <c r="D789" s="173"/>
      <c r="E789" s="3"/>
      <c r="F789" s="3"/>
      <c r="G789" s="3"/>
      <c r="I789" s="489"/>
    </row>
    <row r="790" spans="1:9">
      <c r="A790" s="172"/>
      <c r="B790" s="484" t="s">
        <v>2671</v>
      </c>
      <c r="C790" s="172"/>
      <c r="D790" s="1298" t="s">
        <v>1758</v>
      </c>
      <c r="E790" s="1298"/>
      <c r="F790" s="1298"/>
      <c r="G790" s="3"/>
      <c r="I790" s="482"/>
    </row>
    <row r="791" spans="1:9">
      <c r="A791" s="172"/>
      <c r="B791" s="172"/>
      <c r="C791" s="172"/>
      <c r="D791" s="1298"/>
      <c r="E791" s="1298"/>
      <c r="F791" s="1298"/>
      <c r="G791" s="3"/>
      <c r="I791" s="489"/>
    </row>
    <row r="792" spans="1:9">
      <c r="A792" s="172"/>
      <c r="B792" s="172"/>
      <c r="C792" s="172"/>
      <c r="D792" s="1298"/>
      <c r="E792" s="1298"/>
      <c r="F792" s="1298"/>
      <c r="G792" s="3"/>
      <c r="I792" s="489"/>
    </row>
    <row r="793" spans="1:9">
      <c r="A793" s="174"/>
      <c r="B793" s="174"/>
      <c r="C793" s="174"/>
      <c r="D793" s="3"/>
      <c r="E793" s="987"/>
      <c r="F793" s="987"/>
      <c r="G793" s="987"/>
      <c r="I793" s="489"/>
    </row>
    <row r="794" spans="1:9" ht="14.25">
      <c r="A794" s="175"/>
      <c r="B794" s="484" t="s">
        <v>2671</v>
      </c>
      <c r="C794" s="988"/>
      <c r="D794" s="1298" t="s">
        <v>1759</v>
      </c>
      <c r="E794" s="1298"/>
      <c r="F794" s="1298"/>
      <c r="G794" s="987"/>
      <c r="I794" s="482"/>
    </row>
    <row r="795" spans="1:9" ht="14.25">
      <c r="A795" s="175"/>
      <c r="B795" s="175"/>
      <c r="C795" s="988"/>
      <c r="D795" s="1298"/>
      <c r="E795" s="1298"/>
      <c r="F795" s="1298"/>
      <c r="G795" s="987"/>
      <c r="I795" s="489"/>
    </row>
    <row r="796" spans="1:9" ht="14.25">
      <c r="A796" s="175"/>
      <c r="B796" s="175"/>
      <c r="C796" s="988"/>
      <c r="D796" s="1298"/>
      <c r="E796" s="1298"/>
      <c r="F796" s="1298"/>
      <c r="G796" s="987"/>
      <c r="I796" s="489"/>
    </row>
    <row r="797" spans="1:9" ht="14.25">
      <c r="A797" s="175"/>
      <c r="B797" s="175"/>
      <c r="C797" s="988"/>
      <c r="D797" s="118"/>
      <c r="E797" s="3"/>
      <c r="F797" s="3"/>
      <c r="G797" s="987"/>
      <c r="I797" s="489"/>
    </row>
    <row r="798" spans="1:9" ht="14.25">
      <c r="A798" s="175"/>
      <c r="B798" s="484" t="s">
        <v>2671</v>
      </c>
      <c r="C798" s="988"/>
      <c r="D798" s="1298" t="s">
        <v>1760</v>
      </c>
      <c r="E798" s="1298"/>
      <c r="F798" s="1298"/>
      <c r="G798" s="987"/>
      <c r="I798" s="482"/>
    </row>
    <row r="799" spans="1:9" ht="14.25">
      <c r="A799" s="175"/>
      <c r="B799" s="175"/>
      <c r="C799" s="988"/>
      <c r="D799" s="1298"/>
      <c r="E799" s="1298"/>
      <c r="F799" s="1298"/>
      <c r="G799" s="987"/>
      <c r="I799" s="489"/>
    </row>
    <row r="800" spans="1:9" ht="14.25">
      <c r="A800" s="175"/>
      <c r="B800" s="175"/>
      <c r="C800" s="988"/>
      <c r="D800" s="1298"/>
      <c r="E800" s="1298"/>
      <c r="F800" s="1298"/>
      <c r="G800" s="987"/>
      <c r="I800" s="489"/>
    </row>
    <row r="801" spans="1:9" ht="14.25">
      <c r="A801" s="175"/>
      <c r="B801" s="175"/>
      <c r="C801" s="988"/>
      <c r="D801" s="1298"/>
      <c r="E801" s="1298"/>
      <c r="F801" s="1298"/>
      <c r="G801" s="987"/>
      <c r="I801" s="489"/>
    </row>
    <row r="802" spans="1:9" ht="14.25">
      <c r="A802" s="175"/>
      <c r="B802" s="175"/>
      <c r="C802" s="988"/>
      <c r="D802" s="1298"/>
      <c r="E802" s="1298"/>
      <c r="F802" s="1298"/>
      <c r="G802" s="987"/>
      <c r="I802" s="489"/>
    </row>
    <row r="803" spans="1:9" ht="14.25">
      <c r="A803" s="175"/>
      <c r="B803" s="175"/>
      <c r="C803" s="988"/>
      <c r="D803" s="1298"/>
      <c r="E803" s="1298"/>
      <c r="F803" s="1298"/>
      <c r="G803" s="987"/>
      <c r="I803" s="489"/>
    </row>
    <row r="804" spans="1:9" ht="14.25">
      <c r="A804" s="175"/>
      <c r="B804" s="175"/>
      <c r="C804" s="988"/>
      <c r="D804" s="1298" t="s">
        <v>1803</v>
      </c>
      <c r="E804" s="1298"/>
      <c r="F804" s="1298"/>
      <c r="G804" s="987"/>
      <c r="I804" s="489"/>
    </row>
    <row r="805" spans="1:9" ht="14.25">
      <c r="A805" s="175"/>
      <c r="B805" s="175"/>
      <c r="C805" s="988"/>
      <c r="D805" s="1298"/>
      <c r="E805" s="1298"/>
      <c r="F805" s="1298"/>
      <c r="G805" s="987"/>
      <c r="I805" s="489"/>
    </row>
    <row r="806" spans="1:9" ht="14.25">
      <c r="A806" s="175"/>
      <c r="B806" s="175"/>
      <c r="C806" s="988"/>
      <c r="D806" s="1298"/>
      <c r="E806" s="1298"/>
      <c r="F806" s="1298"/>
      <c r="G806" s="987"/>
      <c r="I806" s="489"/>
    </row>
    <row r="807" spans="1:9" ht="14.25">
      <c r="A807" s="175"/>
      <c r="B807" s="353"/>
      <c r="C807" s="988"/>
      <c r="D807" s="989"/>
      <c r="E807" s="989"/>
      <c r="F807" s="989"/>
      <c r="G807" s="987"/>
      <c r="I807" s="489"/>
    </row>
    <row r="808" spans="1:9" ht="14.25">
      <c r="A808" s="175"/>
      <c r="B808" s="484" t="s">
        <v>2671</v>
      </c>
      <c r="C808" s="988"/>
      <c r="D808" s="1298" t="s">
        <v>1761</v>
      </c>
      <c r="E808" s="1298"/>
      <c r="F808" s="1298"/>
      <c r="G808" s="987"/>
      <c r="I808" s="482"/>
    </row>
    <row r="809" spans="1:9" ht="14.25">
      <c r="A809" s="175"/>
      <c r="B809" s="175"/>
      <c r="C809" s="988"/>
      <c r="D809" s="1298"/>
      <c r="E809" s="1298"/>
      <c r="F809" s="1298"/>
      <c r="G809" s="987"/>
      <c r="I809" s="489"/>
    </row>
    <row r="810" spans="1:9" ht="14.25">
      <c r="A810" s="175"/>
      <c r="B810" s="175"/>
      <c r="C810" s="988"/>
      <c r="D810" s="1298"/>
      <c r="E810" s="1298"/>
      <c r="F810" s="1298"/>
      <c r="G810" s="987"/>
      <c r="I810" s="489"/>
    </row>
    <row r="811" spans="1:9" ht="14.25">
      <c r="A811" s="175"/>
      <c r="B811" s="175"/>
      <c r="C811" s="988"/>
      <c r="D811" s="1298"/>
      <c r="E811" s="1298"/>
      <c r="F811" s="1298"/>
      <c r="G811" s="987"/>
      <c r="I811" s="489"/>
    </row>
    <row r="812" spans="1:9" ht="14.25">
      <c r="A812" s="175"/>
      <c r="B812" s="175"/>
      <c r="C812" s="988"/>
      <c r="D812" s="1298"/>
      <c r="E812" s="1298"/>
      <c r="F812" s="1298"/>
      <c r="G812" s="987"/>
      <c r="I812" s="489"/>
    </row>
    <row r="813" spans="1:9" ht="14.25">
      <c r="A813" s="175"/>
      <c r="B813" s="175"/>
      <c r="C813" s="988"/>
      <c r="D813" s="1298"/>
      <c r="E813" s="1298"/>
      <c r="F813" s="1298"/>
      <c r="G813" s="987"/>
      <c r="I813" s="489"/>
    </row>
    <row r="814" spans="1:9" ht="14.25">
      <c r="A814" s="175"/>
      <c r="B814" s="175"/>
      <c r="C814" s="988"/>
      <c r="D814" s="981"/>
      <c r="E814" s="981"/>
      <c r="F814" s="981"/>
      <c r="G814" s="987"/>
      <c r="I814" s="489"/>
    </row>
    <row r="815" spans="1:9" ht="14.25">
      <c r="A815" s="175"/>
      <c r="B815" s="484" t="s">
        <v>2671</v>
      </c>
      <c r="C815" s="988"/>
      <c r="D815" s="1298" t="s">
        <v>1762</v>
      </c>
      <c r="E815" s="1298"/>
      <c r="F815" s="1298"/>
      <c r="G815" s="987"/>
      <c r="I815" s="482"/>
    </row>
    <row r="816" spans="1:9" ht="14.25">
      <c r="A816" s="175"/>
      <c r="B816" s="175"/>
      <c r="C816" s="988"/>
      <c r="D816" s="1298"/>
      <c r="E816" s="1298"/>
      <c r="F816" s="1298"/>
      <c r="G816" s="987"/>
      <c r="I816" s="489"/>
    </row>
    <row r="817" spans="1:9" ht="14.25">
      <c r="A817" s="175"/>
      <c r="B817" s="175"/>
      <c r="C817" s="988"/>
      <c r="D817" s="1298"/>
      <c r="E817" s="1298"/>
      <c r="F817" s="1298"/>
      <c r="G817" s="987"/>
      <c r="I817" s="489"/>
    </row>
    <row r="818" spans="1:9" ht="14.25">
      <c r="A818" s="175"/>
      <c r="B818" s="175"/>
      <c r="C818" s="988"/>
      <c r="D818" s="1298"/>
      <c r="E818" s="1298"/>
      <c r="F818" s="1298"/>
      <c r="G818" s="987"/>
      <c r="I818" s="489"/>
    </row>
    <row r="819" spans="1:9" ht="14.25">
      <c r="A819" s="175"/>
      <c r="B819" s="175"/>
      <c r="C819" s="988"/>
      <c r="D819" s="1298"/>
      <c r="E819" s="1298"/>
      <c r="F819" s="1298"/>
      <c r="G819" s="987"/>
      <c r="I819" s="489"/>
    </row>
    <row r="820" spans="1:9" ht="14.25">
      <c r="A820" s="175"/>
      <c r="B820" s="175"/>
      <c r="C820" s="988"/>
      <c r="D820" s="1298"/>
      <c r="E820" s="1298"/>
      <c r="F820" s="1298"/>
      <c r="G820" s="987"/>
      <c r="I820" s="489"/>
    </row>
    <row r="821" spans="1:9" ht="14.25">
      <c r="A821" s="175"/>
      <c r="B821" s="175"/>
      <c r="C821" s="988"/>
      <c r="D821" s="981"/>
      <c r="E821" s="981"/>
      <c r="F821" s="981"/>
      <c r="G821" s="987"/>
      <c r="I821" s="489"/>
    </row>
    <row r="822" spans="1:9" ht="14.25">
      <c r="A822" s="175"/>
      <c r="B822" s="484" t="s">
        <v>2671</v>
      </c>
      <c r="C822" s="988"/>
      <c r="D822" s="1293" t="s">
        <v>1763</v>
      </c>
      <c r="E822" s="1293"/>
      <c r="F822" s="1293"/>
      <c r="G822" s="987"/>
      <c r="I822" s="482"/>
    </row>
    <row r="823" spans="1:9" ht="14.25">
      <c r="A823" s="175"/>
      <c r="B823" s="175"/>
      <c r="C823" s="988"/>
      <c r="D823" s="1293"/>
      <c r="E823" s="1293"/>
      <c r="F823" s="1293"/>
      <c r="G823" s="987"/>
      <c r="I823" s="489"/>
    </row>
    <row r="824" spans="1:9">
      <c r="A824" s="13"/>
      <c r="B824" s="13"/>
      <c r="C824" s="988"/>
      <c r="D824" s="1293"/>
      <c r="E824" s="1293"/>
      <c r="F824" s="1293"/>
      <c r="G824" s="987"/>
      <c r="I824" s="489"/>
    </row>
    <row r="825" spans="1:9" ht="14.25">
      <c r="A825" s="175"/>
      <c r="B825" s="13"/>
      <c r="C825" s="988"/>
      <c r="D825" s="1293"/>
      <c r="E825" s="1293"/>
      <c r="F825" s="1293"/>
      <c r="G825" s="987"/>
      <c r="I825" s="489"/>
    </row>
    <row r="826" spans="1:9" ht="12.75" customHeight="1">
      <c r="A826" s="175"/>
      <c r="B826" s="13"/>
      <c r="C826" s="988"/>
      <c r="D826" s="1293"/>
      <c r="E826" s="1293"/>
      <c r="F826" s="1293"/>
      <c r="G826" s="987"/>
      <c r="I826" s="489"/>
    </row>
    <row r="827" spans="1:9" ht="12.75" customHeight="1">
      <c r="A827" s="175"/>
      <c r="B827" s="13"/>
      <c r="C827" s="988"/>
      <c r="D827" s="1293"/>
      <c r="E827" s="1293"/>
      <c r="F827" s="1293"/>
      <c r="G827" s="987"/>
      <c r="I827" s="489"/>
    </row>
    <row r="828" spans="1:9" ht="12.75" customHeight="1">
      <c r="A828" s="13"/>
      <c r="B828" s="13"/>
      <c r="C828" s="988"/>
      <c r="D828" s="987"/>
      <c r="E828" s="3"/>
      <c r="F828" s="3"/>
      <c r="G828" s="987"/>
      <c r="I828" s="489"/>
    </row>
    <row r="829" spans="1:9" ht="12.75" customHeight="1">
      <c r="A829" s="1289" t="s">
        <v>1764</v>
      </c>
      <c r="B829" s="1289"/>
      <c r="C829" s="1289"/>
      <c r="D829" s="1289"/>
      <c r="E829" s="1289"/>
      <c r="F829" s="1289"/>
      <c r="G829" s="1289"/>
      <c r="H829" s="1027"/>
      <c r="I829" s="1152"/>
    </row>
    <row r="830" spans="1:9" ht="12.75" customHeight="1">
      <c r="A830" s="172"/>
      <c r="B830" s="172"/>
      <c r="C830" s="988"/>
      <c r="D830" s="987"/>
      <c r="E830" s="987"/>
      <c r="F830" s="987"/>
      <c r="G830" s="987"/>
      <c r="I830" s="489"/>
    </row>
    <row r="831" spans="1:9" ht="12.75" customHeight="1">
      <c r="A831" s="175"/>
      <c r="B831" s="175"/>
      <c r="C831" s="353"/>
      <c r="D831" s="1309" t="s">
        <v>1804</v>
      </c>
      <c r="E831" s="1309"/>
      <c r="F831" s="1309"/>
      <c r="G831" s="3"/>
      <c r="I831" s="489"/>
    </row>
    <row r="832" spans="1:9" ht="14.25" customHeight="1">
      <c r="A832" s="175"/>
      <c r="B832" s="175"/>
      <c r="C832" s="353"/>
      <c r="D832" s="1266" t="s">
        <v>1765</v>
      </c>
      <c r="E832" s="1266"/>
      <c r="F832" s="1266"/>
      <c r="G832" s="3"/>
      <c r="I832" s="489"/>
    </row>
    <row r="833" spans="1:9" ht="12.75" customHeight="1">
      <c r="A833" s="175"/>
      <c r="B833" s="175"/>
      <c r="C833" s="353"/>
      <c r="D833" s="440"/>
      <c r="E833" s="440"/>
      <c r="F833" s="440"/>
      <c r="G833" s="3"/>
      <c r="I833" s="489"/>
    </row>
    <row r="834" spans="1:9" ht="12.75" customHeight="1">
      <c r="A834" s="353"/>
      <c r="B834" s="484" t="s">
        <v>2744</v>
      </c>
      <c r="C834" s="988"/>
      <c r="D834" s="1266" t="s">
        <v>1766</v>
      </c>
      <c r="E834" s="1266"/>
      <c r="F834" s="1266"/>
      <c r="G834" s="3"/>
      <c r="I834" s="489" t="s">
        <v>1881</v>
      </c>
    </row>
    <row r="835" spans="1:9" ht="14.25" customHeight="1">
      <c r="A835" s="13"/>
      <c r="B835" s="13"/>
      <c r="C835" s="988"/>
      <c r="E835" s="1035" t="s">
        <v>1897</v>
      </c>
      <c r="F835" s="1037"/>
      <c r="G835" s="3"/>
      <c r="I835" s="489"/>
    </row>
    <row r="836" spans="1:9" ht="12.75" customHeight="1">
      <c r="A836" s="13"/>
      <c r="B836" s="13"/>
      <c r="C836" s="988"/>
      <c r="D836" s="990"/>
      <c r="E836" s="3"/>
      <c r="F836" s="3"/>
      <c r="G836" s="3"/>
      <c r="I836" s="489"/>
    </row>
    <row r="837" spans="1:9" ht="14.25" hidden="1" customHeight="1">
      <c r="A837" s="13"/>
      <c r="B837" s="484" t="s">
        <v>307</v>
      </c>
      <c r="C837" s="988"/>
      <c r="D837" s="1310" t="s">
        <v>2077</v>
      </c>
      <c r="E837" s="1310"/>
      <c r="F837" s="1310"/>
      <c r="G837" s="3"/>
      <c r="I837" s="489"/>
    </row>
    <row r="838" spans="1:9" ht="12.75" hidden="1" customHeight="1">
      <c r="A838" s="13"/>
      <c r="B838" s="13"/>
      <c r="C838" s="988"/>
      <c r="D838" s="1310"/>
      <c r="E838" s="1310"/>
      <c r="F838" s="1310"/>
      <c r="G838" s="3"/>
      <c r="I838" s="489"/>
    </row>
    <row r="839" spans="1:9" ht="12.75" hidden="1" customHeight="1">
      <c r="A839" s="13"/>
      <c r="B839" s="13"/>
      <c r="C839" s="988"/>
      <c r="D839" s="1310"/>
      <c r="E839" s="1310"/>
      <c r="F839" s="1310"/>
      <c r="G839" s="3"/>
      <c r="I839" s="489"/>
    </row>
    <row r="840" spans="1:9" ht="12.75" hidden="1" customHeight="1">
      <c r="A840" s="13"/>
      <c r="B840" s="13"/>
      <c r="C840" s="988"/>
      <c r="D840" s="1310"/>
      <c r="E840" s="1310"/>
      <c r="F840" s="1310"/>
      <c r="G840" s="3"/>
      <c r="I840" s="489"/>
    </row>
    <row r="841" spans="1:9" ht="12.75" hidden="1" customHeight="1">
      <c r="A841" s="13"/>
      <c r="B841" s="13"/>
      <c r="C841" s="988"/>
      <c r="D841" s="1310"/>
      <c r="E841" s="1310"/>
      <c r="F841" s="1310"/>
      <c r="G841" s="3"/>
      <c r="I841" s="489"/>
    </row>
    <row r="842" spans="1:9" ht="12.75" hidden="1" customHeight="1">
      <c r="A842" s="13"/>
      <c r="B842" s="13"/>
      <c r="C842" s="988"/>
      <c r="D842" s="1310"/>
      <c r="E842" s="1310"/>
      <c r="F842" s="1310"/>
      <c r="G842" s="3"/>
      <c r="I842" s="489"/>
    </row>
    <row r="843" spans="1:9" ht="12.75" hidden="1" customHeight="1">
      <c r="A843" s="13"/>
      <c r="B843" s="13"/>
      <c r="C843" s="988"/>
      <c r="D843" s="1310"/>
      <c r="E843" s="1310"/>
      <c r="F843" s="1310"/>
      <c r="G843" s="3"/>
      <c r="I843" s="489"/>
    </row>
    <row r="844" spans="1:9" ht="12.75" hidden="1" customHeight="1">
      <c r="A844" s="13"/>
      <c r="B844" s="13"/>
      <c r="C844" s="988"/>
      <c r="D844" s="1310"/>
      <c r="E844" s="1310"/>
      <c r="F844" s="1310"/>
      <c r="G844" s="3"/>
      <c r="I844" s="489"/>
    </row>
    <row r="845" spans="1:9" ht="12.75" hidden="1" customHeight="1">
      <c r="A845" s="13"/>
      <c r="B845" s="13"/>
      <c r="C845" s="988"/>
      <c r="D845" s="1310"/>
      <c r="E845" s="1310"/>
      <c r="F845" s="1310"/>
      <c r="G845" s="3"/>
      <c r="I845" s="489"/>
    </row>
    <row r="846" spans="1:9" ht="12.75" hidden="1" customHeight="1">
      <c r="A846" s="13"/>
      <c r="B846" s="13"/>
      <c r="C846" s="988"/>
      <c r="D846" s="1310"/>
      <c r="E846" s="1310"/>
      <c r="F846" s="1310"/>
      <c r="G846" s="3"/>
      <c r="I846" s="489"/>
    </row>
    <row r="847" spans="1:9" ht="12.75" hidden="1" customHeight="1">
      <c r="A847" s="13"/>
      <c r="B847" s="13"/>
      <c r="C847" s="988"/>
      <c r="D847" s="990"/>
      <c r="E847" s="3"/>
      <c r="F847" s="3"/>
      <c r="G847" s="3"/>
      <c r="I847" s="489"/>
    </row>
    <row r="848" spans="1:9" ht="12.75" customHeight="1">
      <c r="A848" s="175"/>
      <c r="B848" s="484" t="s">
        <v>2744</v>
      </c>
      <c r="C848" s="988"/>
      <c r="D848" s="1266" t="s">
        <v>1767</v>
      </c>
      <c r="E848" s="1266"/>
      <c r="F848" s="1266"/>
      <c r="G848" s="3"/>
      <c r="I848" s="489" t="s">
        <v>1884</v>
      </c>
    </row>
    <row r="849" spans="1:9" ht="12.75" customHeight="1">
      <c r="A849" s="175"/>
      <c r="B849" s="175"/>
      <c r="C849" s="988"/>
      <c r="D849" s="1266"/>
      <c r="E849" s="1266"/>
      <c r="F849" s="1266"/>
      <c r="G849" s="3"/>
      <c r="I849" s="489"/>
    </row>
    <row r="850" spans="1:9" ht="12.75" customHeight="1">
      <c r="A850" s="175"/>
      <c r="B850" s="175"/>
      <c r="C850" s="988"/>
      <c r="D850" s="1266"/>
      <c r="E850" s="1266"/>
      <c r="F850" s="1266"/>
      <c r="G850" s="3"/>
      <c r="I850" s="489"/>
    </row>
    <row r="851" spans="1:9" ht="12.75" customHeight="1">
      <c r="A851" s="175"/>
      <c r="B851" s="175"/>
      <c r="C851" s="988"/>
      <c r="D851" s="118"/>
      <c r="E851" s="3"/>
      <c r="F851" s="3"/>
      <c r="G851" s="3"/>
      <c r="I851" s="489"/>
    </row>
    <row r="852" spans="1:9" ht="12.75" customHeight="1">
      <c r="A852" s="991"/>
      <c r="B852" s="484" t="s">
        <v>2671</v>
      </c>
      <c r="C852" s="988"/>
      <c r="D852" s="1309" t="s">
        <v>1768</v>
      </c>
      <c r="E852" s="1309"/>
      <c r="F852" s="1309"/>
      <c r="G852" s="3"/>
      <c r="I852" s="489"/>
    </row>
    <row r="853" spans="1:9" ht="12.75" customHeight="1">
      <c r="A853" s="353"/>
      <c r="B853" s="991"/>
      <c r="C853" s="988"/>
      <c r="D853" s="1309"/>
      <c r="E853" s="1309"/>
      <c r="F853" s="1309"/>
      <c r="G853" s="3"/>
      <c r="I853" s="489"/>
    </row>
    <row r="854" spans="1:9" ht="12.75" customHeight="1">
      <c r="A854" s="175"/>
      <c r="B854" s="353"/>
      <c r="C854" s="988"/>
      <c r="D854" s="1266" t="s">
        <v>2070</v>
      </c>
      <c r="E854" s="1266"/>
      <c r="F854" s="1266"/>
      <c r="G854" s="3"/>
      <c r="I854" s="489"/>
    </row>
    <row r="855" spans="1:9" ht="12.75" customHeight="1">
      <c r="A855" s="175"/>
      <c r="B855" s="175"/>
      <c r="C855" s="988"/>
      <c r="D855" s="1266"/>
      <c r="E855" s="1266"/>
      <c r="F855" s="1266"/>
      <c r="G855" s="3"/>
      <c r="I855" s="489"/>
    </row>
    <row r="856" spans="1:9" ht="12.75" customHeight="1">
      <c r="A856" s="175"/>
      <c r="B856" s="175"/>
      <c r="C856" s="988"/>
      <c r="D856" s="1266"/>
      <c r="E856" s="1266"/>
      <c r="F856" s="1266"/>
      <c r="G856" s="3"/>
      <c r="I856" s="489"/>
    </row>
    <row r="857" spans="1:9" ht="12.75" customHeight="1">
      <c r="A857" s="175"/>
      <c r="B857" s="175"/>
      <c r="C857" s="988"/>
      <c r="D857" s="1266"/>
      <c r="E857" s="1266"/>
      <c r="F857" s="1266"/>
      <c r="G857" s="3"/>
      <c r="I857" s="489"/>
    </row>
    <row r="858" spans="1:9" ht="12.75" customHeight="1">
      <c r="A858" s="175"/>
      <c r="B858" s="175"/>
      <c r="C858" s="988"/>
      <c r="D858" s="1266"/>
      <c r="E858" s="1266"/>
      <c r="F858" s="1266"/>
      <c r="G858" s="3"/>
      <c r="I858" s="489"/>
    </row>
    <row r="859" spans="1:9" ht="12.75" customHeight="1">
      <c r="A859" s="175"/>
      <c r="B859" s="175"/>
      <c r="C859" s="988"/>
      <c r="D859" s="1266"/>
      <c r="E859" s="1266"/>
      <c r="F859" s="1266"/>
      <c r="G859" s="3"/>
      <c r="I859" s="489"/>
    </row>
    <row r="860" spans="1:9" ht="12.75" customHeight="1">
      <c r="A860" s="175"/>
      <c r="B860" s="175"/>
      <c r="C860" s="988"/>
      <c r="D860" s="118"/>
      <c r="E860" s="3"/>
      <c r="F860" s="3"/>
      <c r="G860" s="3"/>
      <c r="I860" s="489"/>
    </row>
    <row r="861" spans="1:9" ht="12.75" customHeight="1">
      <c r="A861" s="175"/>
      <c r="B861" s="484" t="s">
        <v>2671</v>
      </c>
      <c r="C861" s="988"/>
      <c r="D861" s="1266" t="s">
        <v>1769</v>
      </c>
      <c r="E861" s="1266"/>
      <c r="F861" s="1266"/>
      <c r="G861" s="3"/>
      <c r="I861" s="489" t="s">
        <v>1882</v>
      </c>
    </row>
    <row r="862" spans="1:9" ht="12.75" customHeight="1">
      <c r="A862" s="175"/>
      <c r="B862" s="175"/>
      <c r="C862" s="988"/>
      <c r="D862" s="1266" t="s">
        <v>1770</v>
      </c>
      <c r="E862" s="1266"/>
      <c r="F862" s="1266"/>
      <c r="G862" s="3"/>
      <c r="I862" s="489"/>
    </row>
    <row r="863" spans="1:9" ht="12.75" customHeight="1">
      <c r="A863" s="175"/>
      <c r="B863" s="175"/>
      <c r="C863" s="988"/>
      <c r="E863" s="1035" t="s">
        <v>1899</v>
      </c>
      <c r="F863" s="1037"/>
      <c r="G863" s="3"/>
      <c r="I863" s="489"/>
    </row>
    <row r="864" spans="1:9" ht="12.75" customHeight="1">
      <c r="A864" s="175"/>
      <c r="B864" s="175"/>
      <c r="C864" s="988"/>
      <c r="D864" s="118"/>
      <c r="E864" s="3"/>
      <c r="F864" s="3"/>
      <c r="G864" s="3"/>
      <c r="I864" s="489"/>
    </row>
    <row r="865" spans="1:9" ht="12.75" customHeight="1">
      <c r="A865" s="175"/>
      <c r="B865" s="484" t="s">
        <v>2671</v>
      </c>
      <c r="C865" s="988"/>
      <c r="D865" s="1266" t="s">
        <v>1771</v>
      </c>
      <c r="E865" s="1266"/>
      <c r="F865" s="1266"/>
      <c r="G865" s="3"/>
      <c r="I865" s="489" t="s">
        <v>1885</v>
      </c>
    </row>
    <row r="866" spans="1:9" ht="12.75" customHeight="1">
      <c r="A866" s="175"/>
      <c r="B866" s="175"/>
      <c r="C866" s="988"/>
      <c r="D866" s="1266"/>
      <c r="E866" s="1266"/>
      <c r="F866" s="1266"/>
      <c r="G866" s="3"/>
      <c r="I866" s="489"/>
    </row>
    <row r="867" spans="1:9" ht="12.75" customHeight="1">
      <c r="A867" s="175"/>
      <c r="B867" s="175"/>
      <c r="C867" s="988"/>
      <c r="D867" s="1266"/>
      <c r="E867" s="1266"/>
      <c r="F867" s="1266"/>
      <c r="G867" s="3"/>
      <c r="I867" s="489"/>
    </row>
    <row r="868" spans="1:9" ht="12.75" customHeight="1">
      <c r="A868" s="175"/>
      <c r="B868" s="175"/>
      <c r="C868" s="988"/>
      <c r="D868" s="1266"/>
      <c r="E868" s="1266"/>
      <c r="F868" s="1266"/>
      <c r="G868" s="3"/>
      <c r="I868" s="489"/>
    </row>
    <row r="869" spans="1:9" ht="12.75" customHeight="1">
      <c r="A869" s="172"/>
      <c r="B869" s="172"/>
      <c r="C869" s="172"/>
      <c r="D869" s="118"/>
      <c r="E869" s="3"/>
      <c r="F869" s="3"/>
      <c r="G869" s="3"/>
      <c r="I869" s="489"/>
    </row>
    <row r="870" spans="1:9" ht="12.75" customHeight="1">
      <c r="A870" s="982" t="s">
        <v>1772</v>
      </c>
      <c r="B870" s="982"/>
      <c r="C870" s="992"/>
      <c r="D870" s="992"/>
      <c r="E870" s="992"/>
      <c r="F870" s="992"/>
      <c r="G870" s="992"/>
      <c r="H870" s="1027"/>
      <c r="I870" s="1152"/>
    </row>
    <row r="871" spans="1:9" ht="12.75" customHeight="1">
      <c r="A871" s="172"/>
      <c r="B871" s="172"/>
      <c r="C871" s="172"/>
      <c r="D871" s="993"/>
      <c r="E871" s="3"/>
      <c r="F871" s="3"/>
      <c r="G871" s="3"/>
      <c r="I871" s="489"/>
    </row>
    <row r="872" spans="1:9" ht="12.75" customHeight="1">
      <c r="A872" s="353"/>
      <c r="B872" s="353"/>
      <c r="C872" s="174"/>
      <c r="D872" s="1299" t="s">
        <v>1805</v>
      </c>
      <c r="E872" s="1299"/>
      <c r="F872" s="1299"/>
      <c r="G872" s="987"/>
      <c r="I872" s="489"/>
    </row>
    <row r="873" spans="1:9" ht="12.75" customHeight="1">
      <c r="A873" s="353"/>
      <c r="B873" s="353"/>
      <c r="C873" s="174"/>
      <c r="D873" s="1308" t="s">
        <v>1773</v>
      </c>
      <c r="E873" s="1308"/>
      <c r="F873" s="1308"/>
      <c r="G873" s="987"/>
      <c r="I873" s="489"/>
    </row>
    <row r="874" spans="1:9" ht="12.75" customHeight="1">
      <c r="A874" s="353"/>
      <c r="B874" s="353"/>
      <c r="C874" s="174"/>
      <c r="D874" s="994"/>
      <c r="E874" s="994"/>
      <c r="F874" s="994"/>
      <c r="G874" s="987"/>
      <c r="I874" s="489"/>
    </row>
    <row r="875" spans="1:9" ht="12.75" customHeight="1">
      <c r="A875" s="175"/>
      <c r="B875" s="484" t="s">
        <v>2744</v>
      </c>
      <c r="C875" s="353"/>
      <c r="D875" s="1292" t="s">
        <v>1774</v>
      </c>
      <c r="E875" s="1292"/>
      <c r="F875" s="1292"/>
      <c r="G875" s="987"/>
      <c r="I875" s="489" t="s">
        <v>1882</v>
      </c>
    </row>
    <row r="876" spans="1:9" ht="12.75" customHeight="1">
      <c r="A876" s="353"/>
      <c r="B876" s="353"/>
      <c r="C876" s="353"/>
      <c r="D876" s="2" t="s">
        <v>1749</v>
      </c>
      <c r="E876" s="1035" t="s">
        <v>1899</v>
      </c>
      <c r="F876" s="1038"/>
      <c r="G876" s="987"/>
      <c r="I876" s="489"/>
    </row>
    <row r="877" spans="1:9" ht="12.75" customHeight="1">
      <c r="A877" s="353"/>
      <c r="B877" s="353"/>
      <c r="C877" s="353"/>
      <c r="D877" s="118"/>
      <c r="E877" s="987"/>
      <c r="F877" s="987"/>
      <c r="G877" s="987"/>
      <c r="I877" s="489"/>
    </row>
    <row r="878" spans="1:9" ht="12.75" customHeight="1">
      <c r="A878" s="175"/>
      <c r="B878" s="484" t="s">
        <v>2744</v>
      </c>
      <c r="C878" s="353"/>
      <c r="D878" s="1266" t="s">
        <v>1775</v>
      </c>
      <c r="E878" s="1315"/>
      <c r="F878" s="1315"/>
      <c r="G878" s="3"/>
      <c r="I878" s="489" t="s">
        <v>1885</v>
      </c>
    </row>
    <row r="879" spans="1:9" ht="12.75" customHeight="1">
      <c r="A879" s="353"/>
      <c r="B879" s="353"/>
      <c r="C879" s="353"/>
      <c r="D879" s="1315"/>
      <c r="E879" s="1315"/>
      <c r="F879" s="1315"/>
      <c r="G879" s="3"/>
      <c r="I879" s="489"/>
    </row>
    <row r="880" spans="1:9" ht="12.75" customHeight="1">
      <c r="A880" s="353"/>
      <c r="B880" s="353"/>
      <c r="C880" s="353"/>
      <c r="D880" s="118"/>
      <c r="E880" s="3"/>
      <c r="F880" s="3"/>
      <c r="G880" s="3"/>
      <c r="I880" s="489"/>
    </row>
    <row r="881" spans="1:9" ht="12.75" customHeight="1">
      <c r="A881" s="353"/>
      <c r="B881" s="484" t="s">
        <v>2671</v>
      </c>
      <c r="C881" s="353"/>
      <c r="D881" s="1316" t="s">
        <v>1776</v>
      </c>
      <c r="E881" s="1316"/>
      <c r="F881" s="1316"/>
      <c r="G881" s="987"/>
      <c r="I881" s="489"/>
    </row>
    <row r="882" spans="1:9" ht="12.75" customHeight="1">
      <c r="A882" s="353"/>
      <c r="B882" s="995"/>
      <c r="C882" s="353"/>
      <c r="D882" s="1316"/>
      <c r="E882" s="1316"/>
      <c r="F882" s="1316"/>
      <c r="G882" s="987"/>
      <c r="I882" s="489"/>
    </row>
    <row r="883" spans="1:9" ht="12.75" customHeight="1">
      <c r="A883" s="175"/>
      <c r="B883"/>
      <c r="C883" s="353"/>
      <c r="D883" s="1266" t="s">
        <v>2070</v>
      </c>
      <c r="E883" s="1266"/>
      <c r="F883" s="1266"/>
      <c r="G883" s="987"/>
      <c r="I883" s="489"/>
    </row>
    <row r="884" spans="1:9" ht="12.75" customHeight="1">
      <c r="A884" s="175"/>
      <c r="B884" s="175"/>
      <c r="C884" s="353"/>
      <c r="D884" s="1266"/>
      <c r="E884" s="1266"/>
      <c r="F884" s="1266"/>
      <c r="G884" s="987"/>
      <c r="I884" s="489"/>
    </row>
    <row r="885" spans="1:9" ht="12.75" customHeight="1">
      <c r="A885" s="175"/>
      <c r="B885" s="175"/>
      <c r="C885" s="353"/>
      <c r="D885" s="1266"/>
      <c r="E885" s="1266"/>
      <c r="F885" s="1266"/>
      <c r="G885" s="987"/>
      <c r="I885" s="489"/>
    </row>
    <row r="886" spans="1:9" ht="12.75" customHeight="1">
      <c r="A886" s="175"/>
      <c r="B886" s="175"/>
      <c r="C886" s="353"/>
      <c r="D886" s="1266"/>
      <c r="E886" s="1266"/>
      <c r="F886" s="1266"/>
      <c r="G886" s="987"/>
      <c r="I886" s="489"/>
    </row>
    <row r="887" spans="1:9" ht="12.75" customHeight="1">
      <c r="A887" s="175"/>
      <c r="B887" s="175"/>
      <c r="C887" s="353"/>
      <c r="D887" s="1266"/>
      <c r="E887" s="1266"/>
      <c r="F887" s="1266"/>
      <c r="G887" s="987"/>
      <c r="I887" s="489"/>
    </row>
    <row r="888" spans="1:9" ht="12.75" customHeight="1">
      <c r="A888" s="175"/>
      <c r="B888" s="175"/>
      <c r="C888" s="353"/>
      <c r="D888" s="1266"/>
      <c r="E888" s="1266"/>
      <c r="F888" s="1266"/>
      <c r="G888" s="987"/>
      <c r="I888" s="489"/>
    </row>
    <row r="889" spans="1:9" ht="12.75" customHeight="1">
      <c r="A889" s="175"/>
      <c r="B889" s="175"/>
      <c r="C889" s="353"/>
      <c r="D889" s="118"/>
      <c r="E889" s="987"/>
      <c r="F889" s="987"/>
      <c r="G889" s="987"/>
      <c r="I889" s="489"/>
    </row>
    <row r="890" spans="1:9" ht="12.75" customHeight="1">
      <c r="A890" s="175"/>
      <c r="B890" s="484" t="s">
        <v>2671</v>
      </c>
      <c r="C890" s="353"/>
      <c r="D890" s="1291" t="s">
        <v>1769</v>
      </c>
      <c r="E890" s="1291"/>
      <c r="F890" s="1291"/>
      <c r="G890" s="987"/>
      <c r="I890" s="489"/>
    </row>
    <row r="891" spans="1:9" ht="12.75" customHeight="1">
      <c r="A891" s="175"/>
      <c r="B891" s="175"/>
      <c r="C891" s="353"/>
      <c r="D891" s="1291" t="s">
        <v>1770</v>
      </c>
      <c r="E891" s="1291"/>
      <c r="F891" s="1291"/>
      <c r="G891" s="987"/>
      <c r="I891" s="489"/>
    </row>
    <row r="892" spans="1:9" ht="12.75" customHeight="1">
      <c r="A892" s="175"/>
      <c r="B892" s="175"/>
      <c r="C892" s="353"/>
      <c r="D892" s="2" t="s">
        <v>1271</v>
      </c>
      <c r="E892" s="1035" t="s">
        <v>1899</v>
      </c>
      <c r="F892" s="1039"/>
      <c r="G892" s="987"/>
      <c r="I892" s="489"/>
    </row>
    <row r="893" spans="1:9" ht="12.75" customHeight="1">
      <c r="A893" s="175"/>
      <c r="B893" s="175"/>
      <c r="C893" s="353"/>
      <c r="D893" s="118"/>
      <c r="E893" s="987"/>
      <c r="F893" s="987"/>
      <c r="G893" s="987"/>
      <c r="I893" s="489"/>
    </row>
    <row r="894" spans="1:9" ht="12.75" customHeight="1">
      <c r="A894" s="175"/>
      <c r="B894" s="484" t="s">
        <v>2671</v>
      </c>
      <c r="C894" s="353"/>
      <c r="D894" s="1266" t="s">
        <v>1771</v>
      </c>
      <c r="E894" s="1266"/>
      <c r="F894" s="1266"/>
      <c r="G894" s="987"/>
      <c r="I894" s="489"/>
    </row>
    <row r="895" spans="1:9" ht="12.75" customHeight="1">
      <c r="A895" s="175"/>
      <c r="B895" s="175"/>
      <c r="C895" s="353"/>
      <c r="D895" s="1266"/>
      <c r="E895" s="1266"/>
      <c r="F895" s="1266"/>
      <c r="G895" s="987"/>
      <c r="I895" s="489"/>
    </row>
    <row r="896" spans="1:9" ht="12.75" customHeight="1">
      <c r="A896" s="175"/>
      <c r="B896" s="175"/>
      <c r="C896" s="353"/>
      <c r="D896" s="1266"/>
      <c r="E896" s="1266"/>
      <c r="F896" s="1266"/>
      <c r="G896" s="987"/>
      <c r="I896" s="489"/>
    </row>
    <row r="897" spans="1:9" ht="12.75" customHeight="1">
      <c r="A897" s="175"/>
      <c r="B897" s="175"/>
      <c r="C897" s="353"/>
      <c r="D897" s="1266"/>
      <c r="E897" s="1266"/>
      <c r="F897" s="1266"/>
      <c r="G897" s="987"/>
      <c r="I897" s="489"/>
    </row>
    <row r="898" spans="1:9" ht="12.75" customHeight="1">
      <c r="A898" s="118"/>
      <c r="B898" s="118"/>
      <c r="C898" s="988"/>
      <c r="D898" s="987"/>
      <c r="E898" s="987"/>
      <c r="F898" s="987"/>
      <c r="G898" s="987"/>
      <c r="I898" s="489"/>
    </row>
    <row r="899" spans="1:9" ht="12.75" customHeight="1">
      <c r="A899" s="1289" t="s">
        <v>1806</v>
      </c>
      <c r="B899" s="1289"/>
      <c r="C899" s="1289"/>
      <c r="D899" s="1289"/>
      <c r="E899" s="1289"/>
      <c r="F899" s="1289"/>
      <c r="G899" s="1289"/>
      <c r="H899" s="1027"/>
      <c r="I899" s="1152"/>
    </row>
    <row r="900" spans="1:9" ht="12.75" customHeight="1">
      <c r="A900" s="57"/>
      <c r="B900" s="57"/>
      <c r="C900" s="57"/>
      <c r="D900" s="57"/>
      <c r="E900" s="57"/>
      <c r="F900" s="57"/>
      <c r="G900" s="57"/>
      <c r="I900" s="489"/>
    </row>
    <row r="901" spans="1:9" ht="12.75" customHeight="1">
      <c r="A901" s="57"/>
      <c r="B901" s="57"/>
      <c r="C901" s="57"/>
      <c r="D901" s="1287" t="s">
        <v>1812</v>
      </c>
      <c r="E901" s="1287"/>
      <c r="F901" s="1287"/>
      <c r="G901" s="57"/>
      <c r="I901" s="489"/>
    </row>
    <row r="902" spans="1:9" ht="12.75" customHeight="1">
      <c r="A902" s="57"/>
      <c r="B902" s="57"/>
      <c r="C902" s="57"/>
      <c r="D902" s="980"/>
      <c r="E902" s="980"/>
      <c r="F902" s="980"/>
      <c r="G902" s="57"/>
      <c r="I902" s="489"/>
    </row>
    <row r="903" spans="1:9" ht="12.75" customHeight="1">
      <c r="A903" s="57"/>
      <c r="B903" s="484" t="s">
        <v>2744</v>
      </c>
      <c r="C903" s="57"/>
      <c r="D903" s="983" t="s">
        <v>1813</v>
      </c>
      <c r="E903" s="980"/>
      <c r="F903" s="980"/>
      <c r="G903" s="57"/>
      <c r="I903" s="489"/>
    </row>
    <row r="904" spans="1:9" ht="12.75" customHeight="1">
      <c r="A904" s="57"/>
      <c r="B904" s="57"/>
      <c r="C904" s="57"/>
      <c r="D904" s="980"/>
      <c r="E904" s="980"/>
      <c r="F904" s="980"/>
      <c r="G904" s="57"/>
      <c r="I904" s="489"/>
    </row>
    <row r="905" spans="1:9" ht="12.75" customHeight="1">
      <c r="A905" s="353"/>
      <c r="B905" s="353"/>
      <c r="C905" s="988"/>
      <c r="D905" s="1287" t="s">
        <v>1807</v>
      </c>
      <c r="E905" s="1287"/>
      <c r="F905" s="1287"/>
      <c r="G905" s="987"/>
      <c r="I905" s="489"/>
    </row>
    <row r="906" spans="1:9" ht="12.75" customHeight="1">
      <c r="A906" s="172"/>
      <c r="B906" s="172"/>
      <c r="C906" s="172"/>
      <c r="D906" s="1292" t="s">
        <v>1777</v>
      </c>
      <c r="E906" s="1292"/>
      <c r="F906" s="1292"/>
      <c r="G906" s="987"/>
      <c r="I906" s="489"/>
    </row>
    <row r="907" spans="1:9" ht="12.75" customHeight="1">
      <c r="A907" s="988"/>
      <c r="B907" s="988"/>
      <c r="C907" s="988"/>
      <c r="D907" s="2"/>
      <c r="E907" s="987"/>
      <c r="F907" s="987"/>
      <c r="G907" s="987"/>
      <c r="I907" s="489"/>
    </row>
    <row r="908" spans="1:9" ht="12.75" customHeight="1">
      <c r="A908" s="175"/>
      <c r="B908" s="484" t="s">
        <v>2744</v>
      </c>
      <c r="C908" s="353"/>
      <c r="D908" s="1266" t="s">
        <v>1781</v>
      </c>
      <c r="E908" s="1266"/>
      <c r="F908" s="1266"/>
      <c r="G908" s="3"/>
      <c r="I908" s="489"/>
    </row>
    <row r="909" spans="1:9" ht="12.75" customHeight="1">
      <c r="A909" s="353"/>
      <c r="B909" s="353"/>
      <c r="C909" s="353"/>
      <c r="D909" s="1266"/>
      <c r="E909" s="1266"/>
      <c r="F909" s="1266"/>
      <c r="G909" s="3"/>
      <c r="I909" s="489"/>
    </row>
    <row r="910" spans="1:9" ht="12.75" customHeight="1">
      <c r="A910" s="172"/>
      <c r="B910" s="172"/>
      <c r="C910" s="172"/>
      <c r="D910" s="1266" t="s">
        <v>1780</v>
      </c>
      <c r="E910" s="1266"/>
      <c r="F910" s="1266"/>
      <c r="G910" s="987"/>
      <c r="I910" s="489"/>
    </row>
    <row r="911" spans="1:9" ht="12.75" customHeight="1">
      <c r="A911" s="172"/>
      <c r="B911" s="172"/>
      <c r="C911" s="172"/>
      <c r="D911" s="1266"/>
      <c r="E911" s="1266"/>
      <c r="F911" s="1266"/>
      <c r="G911" s="987"/>
      <c r="I911" s="489"/>
    </row>
    <row r="912" spans="1:9" ht="12.75" customHeight="1">
      <c r="A912" s="172"/>
      <c r="B912" s="172"/>
      <c r="C912" s="172"/>
      <c r="D912" s="3"/>
      <c r="E912" s="3"/>
      <c r="F912" s="987"/>
      <c r="G912" s="987"/>
      <c r="I912" s="489"/>
    </row>
    <row r="913" spans="1:9" ht="12.75" customHeight="1">
      <c r="A913" s="175"/>
      <c r="B913" s="484" t="s">
        <v>2744</v>
      </c>
      <c r="C913" s="174"/>
      <c r="D913" s="1277" t="s">
        <v>1778</v>
      </c>
      <c r="E913" s="1277"/>
      <c r="F913" s="1277"/>
      <c r="G913" s="987"/>
      <c r="I913" s="489"/>
    </row>
    <row r="914" spans="1:9" ht="12.75" customHeight="1">
      <c r="A914" s="175"/>
      <c r="B914" s="175"/>
      <c r="C914" s="174"/>
      <c r="D914" s="1277"/>
      <c r="E914" s="1277"/>
      <c r="F914" s="1277"/>
      <c r="G914" s="987"/>
      <c r="I914" s="489"/>
    </row>
    <row r="915" spans="1:9" ht="12.75" customHeight="1">
      <c r="A915" s="175"/>
      <c r="B915" s="175"/>
      <c r="C915" s="174"/>
      <c r="D915" s="1277"/>
      <c r="E915" s="1277"/>
      <c r="F915" s="1277"/>
      <c r="G915" s="987"/>
      <c r="I915" s="489"/>
    </row>
    <row r="916" spans="1:9" ht="12.75" customHeight="1">
      <c r="A916" s="175"/>
      <c r="B916" s="175"/>
      <c r="C916" s="174"/>
      <c r="D916" s="1277"/>
      <c r="E916" s="1277"/>
      <c r="F916" s="1277"/>
      <c r="G916" s="987"/>
      <c r="I916" s="489"/>
    </row>
    <row r="917" spans="1:9" ht="12.75" customHeight="1">
      <c r="A917" s="175"/>
      <c r="B917" s="175"/>
      <c r="C917" s="174"/>
      <c r="D917" s="1277"/>
      <c r="E917" s="1277"/>
      <c r="F917" s="1277"/>
      <c r="G917" s="987"/>
      <c r="I917" s="489"/>
    </row>
    <row r="918" spans="1:9" ht="12.75" customHeight="1">
      <c r="A918" s="174"/>
      <c r="B918" s="174"/>
      <c r="C918" s="174"/>
      <c r="D918" s="1277"/>
      <c r="E918" s="1277"/>
      <c r="F918" s="1277"/>
      <c r="G918" s="987"/>
      <c r="I918" s="489"/>
    </row>
    <row r="919" spans="1:9" ht="12.75" customHeight="1">
      <c r="A919" s="174"/>
      <c r="B919" s="174"/>
      <c r="C919" s="174"/>
      <c r="D919" s="1277"/>
      <c r="E919" s="1277"/>
      <c r="F919" s="1277"/>
      <c r="G919" s="987"/>
      <c r="I919" s="489"/>
    </row>
    <row r="920" spans="1:9" ht="12.75" customHeight="1">
      <c r="A920" s="174"/>
      <c r="B920" s="174"/>
      <c r="C920" s="174"/>
      <c r="D920" s="1277"/>
      <c r="E920" s="1277"/>
      <c r="F920" s="1277"/>
      <c r="G920" s="987"/>
      <c r="I920" s="489"/>
    </row>
    <row r="921" spans="1:9" ht="12.75" customHeight="1">
      <c r="A921" s="174"/>
      <c r="B921" s="174"/>
      <c r="C921" s="174"/>
      <c r="D921" s="334"/>
      <c r="E921" s="334"/>
      <c r="F921" s="334"/>
      <c r="G921" s="987"/>
      <c r="I921" s="489"/>
    </row>
    <row r="922" spans="1:9" ht="12.75" customHeight="1">
      <c r="A922" s="988"/>
      <c r="B922" s="484" t="s">
        <v>2671</v>
      </c>
      <c r="C922" s="988"/>
      <c r="D922" s="1266" t="s">
        <v>1782</v>
      </c>
      <c r="E922" s="1266"/>
      <c r="F922" s="1266"/>
      <c r="G922" s="987"/>
      <c r="I922" s="489"/>
    </row>
    <row r="923" spans="1:9" ht="12.75" customHeight="1">
      <c r="A923" s="988"/>
      <c r="B923" s="988"/>
      <c r="C923" s="988"/>
      <c r="D923" s="1266"/>
      <c r="E923" s="1266"/>
      <c r="F923" s="1266"/>
      <c r="G923" s="987"/>
      <c r="I923" s="489"/>
    </row>
    <row r="924" spans="1:9" ht="12.75" customHeight="1">
      <c r="A924" s="988"/>
      <c r="B924" s="988"/>
      <c r="C924" s="988"/>
      <c r="D924" s="987"/>
      <c r="E924" s="987"/>
      <c r="F924" s="987"/>
      <c r="G924" s="987"/>
      <c r="I924" s="489"/>
    </row>
    <row r="925" spans="1:9" ht="12.75" customHeight="1">
      <c r="A925" s="988"/>
      <c r="B925" s="484" t="s">
        <v>2671</v>
      </c>
      <c r="C925" s="988"/>
      <c r="D925" s="1293" t="s">
        <v>1783</v>
      </c>
      <c r="E925" s="1293"/>
      <c r="F925" s="1293"/>
      <c r="G925" s="987"/>
      <c r="I925" s="489"/>
    </row>
    <row r="926" spans="1:9" ht="12.75" customHeight="1">
      <c r="A926" s="988"/>
      <c r="B926" s="988"/>
      <c r="C926" s="988"/>
      <c r="D926" s="1293"/>
      <c r="E926" s="1293"/>
      <c r="F926" s="1293"/>
      <c r="G926" s="987"/>
      <c r="I926" s="489"/>
    </row>
    <row r="927" spans="1:9" ht="12.75" customHeight="1">
      <c r="A927" s="988"/>
      <c r="B927" s="988"/>
      <c r="C927" s="988"/>
      <c r="D927" s="1293"/>
      <c r="E927" s="1293"/>
      <c r="F927" s="1293"/>
      <c r="G927" s="987"/>
      <c r="I927" s="489"/>
    </row>
    <row r="928" spans="1:9" ht="12.75" customHeight="1">
      <c r="A928" s="988"/>
      <c r="B928" s="988"/>
      <c r="C928" s="988"/>
      <c r="D928" s="1293"/>
      <c r="E928" s="1293"/>
      <c r="F928" s="1293"/>
      <c r="G928" s="987"/>
      <c r="I928" s="489"/>
    </row>
    <row r="929" spans="1:9" ht="12.75" customHeight="1">
      <c r="A929" s="988"/>
      <c r="B929" s="988"/>
      <c r="C929" s="988"/>
      <c r="D929" s="118"/>
      <c r="E929" s="987"/>
      <c r="F929" s="987"/>
      <c r="G929" s="987"/>
      <c r="I929" s="489"/>
    </row>
    <row r="930" spans="1:9" ht="12.75" customHeight="1">
      <c r="A930" s="988"/>
      <c r="B930" s="484" t="s">
        <v>2671</v>
      </c>
      <c r="C930" s="988"/>
      <c r="D930" s="1292" t="s">
        <v>2071</v>
      </c>
      <c r="E930" s="1292"/>
      <c r="F930" s="1292"/>
      <c r="G930" s="987"/>
      <c r="I930" s="489"/>
    </row>
    <row r="931" spans="1:9" ht="12.75" customHeight="1">
      <c r="A931" s="988"/>
      <c r="B931" s="988"/>
      <c r="C931" s="988"/>
      <c r="D931" s="118"/>
      <c r="E931" s="987"/>
      <c r="F931" s="987"/>
      <c r="G931" s="987"/>
      <c r="I931" s="489"/>
    </row>
    <row r="932" spans="1:9" ht="12.75" customHeight="1">
      <c r="A932" s="988"/>
      <c r="B932" s="484" t="s">
        <v>2671</v>
      </c>
      <c r="C932" s="988"/>
      <c r="D932" s="1292" t="s">
        <v>2072</v>
      </c>
      <c r="E932" s="1292"/>
      <c r="F932" s="1292"/>
      <c r="G932" s="987"/>
      <c r="I932" s="489"/>
    </row>
    <row r="933" spans="1:9" ht="12.75" customHeight="1">
      <c r="A933" s="174"/>
      <c r="B933" s="174"/>
      <c r="C933" s="174"/>
      <c r="D933" s="2"/>
      <c r="E933" s="3"/>
      <c r="F933" s="987"/>
      <c r="G933" s="987"/>
      <c r="I933" s="489"/>
    </row>
    <row r="934" spans="1:9" ht="12.75" customHeight="1">
      <c r="A934" s="996"/>
      <c r="B934" s="484" t="s">
        <v>2744</v>
      </c>
      <c r="C934" s="997"/>
      <c r="D934" s="1277" t="s">
        <v>1779</v>
      </c>
      <c r="E934" s="1277"/>
      <c r="F934" s="1277"/>
      <c r="G934" s="998"/>
      <c r="I934" s="489"/>
    </row>
    <row r="935" spans="1:9" ht="12.75" customHeight="1">
      <c r="A935" s="996"/>
      <c r="B935" s="996"/>
      <c r="C935" s="997"/>
      <c r="D935" s="1277"/>
      <c r="E935" s="1277"/>
      <c r="F935" s="1277"/>
      <c r="G935" s="998"/>
      <c r="I935" s="489"/>
    </row>
    <row r="936" spans="1:9" ht="12.75" customHeight="1">
      <c r="A936" s="996"/>
      <c r="B936" s="996"/>
      <c r="C936" s="997"/>
      <c r="D936" s="1277"/>
      <c r="E936" s="1277"/>
      <c r="F936" s="1277"/>
      <c r="G936" s="998"/>
      <c r="I936" s="489"/>
    </row>
    <row r="937" spans="1:9" ht="12.75" customHeight="1">
      <c r="A937" s="996"/>
      <c r="B937" s="996"/>
      <c r="C937" s="997"/>
      <c r="D937" s="1277"/>
      <c r="E937" s="1277"/>
      <c r="F937" s="1277"/>
      <c r="G937" s="998"/>
      <c r="I937" s="489"/>
    </row>
    <row r="938" spans="1:9" ht="12.75" customHeight="1">
      <c r="A938" s="996"/>
      <c r="B938" s="996"/>
      <c r="C938" s="997"/>
      <c r="D938" s="1277"/>
      <c r="E938" s="1277"/>
      <c r="F938" s="1277"/>
      <c r="G938" s="998"/>
      <c r="I938" s="489"/>
    </row>
    <row r="939" spans="1:9" ht="12.75" customHeight="1">
      <c r="A939" s="996"/>
      <c r="B939" s="996"/>
      <c r="C939" s="997"/>
      <c r="D939" s="1277"/>
      <c r="E939" s="1277"/>
      <c r="F939" s="1277"/>
      <c r="G939" s="998"/>
      <c r="I939" s="489"/>
    </row>
    <row r="940" spans="1:9" ht="12.75" customHeight="1">
      <c r="A940" s="996"/>
      <c r="B940" s="996"/>
      <c r="C940" s="997"/>
      <c r="D940" s="1277"/>
      <c r="E940" s="1277"/>
      <c r="F940" s="1277"/>
      <c r="G940" s="998"/>
      <c r="I940" s="489"/>
    </row>
    <row r="941" spans="1:9" ht="12.75" customHeight="1">
      <c r="A941" s="996"/>
      <c r="B941" s="996"/>
      <c r="C941" s="997"/>
      <c r="D941" s="1277"/>
      <c r="E941" s="1277"/>
      <c r="F941" s="1277"/>
      <c r="G941" s="998"/>
      <c r="I941" s="489"/>
    </row>
    <row r="942" spans="1:9" ht="12.75" customHeight="1">
      <c r="A942" s="996"/>
      <c r="B942" s="996"/>
      <c r="C942" s="997"/>
      <c r="D942" s="1277"/>
      <c r="E942" s="1277"/>
      <c r="F942" s="1277"/>
      <c r="G942" s="998"/>
      <c r="I942" s="489"/>
    </row>
    <row r="943" spans="1:9" ht="12.75" customHeight="1">
      <c r="A943" s="174"/>
      <c r="B943" s="174"/>
      <c r="C943" s="174"/>
      <c r="D943" s="2"/>
      <c r="E943" s="3"/>
      <c r="F943" s="987"/>
      <c r="G943" s="987"/>
      <c r="I943" s="489"/>
    </row>
    <row r="944" spans="1:9" ht="12.75" customHeight="1">
      <c r="A944" s="175"/>
      <c r="B944" s="484" t="s">
        <v>2744</v>
      </c>
      <c r="C944" s="174"/>
      <c r="D944" s="1301" t="s">
        <v>1888</v>
      </c>
      <c r="E944" s="1301"/>
      <c r="F944" s="1301"/>
      <c r="G944" s="987"/>
      <c r="I944" s="489"/>
    </row>
    <row r="945" spans="1:9" ht="12.75" customHeight="1">
      <c r="A945" s="175"/>
      <c r="B945" s="175"/>
      <c r="C945" s="174"/>
      <c r="D945" s="1301"/>
      <c r="E945" s="1301"/>
      <c r="F945" s="1301"/>
      <c r="G945" s="987"/>
      <c r="I945" s="489"/>
    </row>
    <row r="946" spans="1:9" ht="12.75" customHeight="1">
      <c r="A946" s="175"/>
      <c r="B946" s="175"/>
      <c r="C946" s="174"/>
      <c r="D946" s="1301"/>
      <c r="E946" s="1301"/>
      <c r="F946" s="1301"/>
      <c r="G946" s="987"/>
      <c r="I946" s="489"/>
    </row>
    <row r="947" spans="1:9" ht="12.75" customHeight="1">
      <c r="A947" s="175"/>
      <c r="B947" s="175"/>
      <c r="C947" s="174"/>
      <c r="D947" s="1301"/>
      <c r="E947" s="1301"/>
      <c r="F947" s="1301"/>
      <c r="G947" s="987"/>
      <c r="I947" s="489"/>
    </row>
    <row r="948" spans="1:9" ht="12.75" customHeight="1">
      <c r="A948" s="175"/>
      <c r="B948" s="175"/>
      <c r="C948" s="174"/>
      <c r="D948" s="1301"/>
      <c r="E948" s="1301"/>
      <c r="F948" s="1301"/>
      <c r="G948" s="987"/>
      <c r="I948" s="489"/>
    </row>
    <row r="949" spans="1:9" ht="12.75" customHeight="1">
      <c r="A949" s="175"/>
      <c r="B949" s="175"/>
      <c r="C949" s="174"/>
      <c r="D949" s="1301"/>
      <c r="E949" s="1301"/>
      <c r="F949" s="1301"/>
      <c r="G949" s="987"/>
      <c r="I949" s="489"/>
    </row>
    <row r="950" spans="1:9" ht="12.75" customHeight="1">
      <c r="A950" s="175"/>
      <c r="B950" s="175"/>
      <c r="C950" s="174"/>
      <c r="D950" s="1301"/>
      <c r="E950" s="1301"/>
      <c r="F950" s="1301"/>
      <c r="G950" s="987"/>
      <c r="I950" s="489"/>
    </row>
    <row r="951" spans="1:9" ht="12.75" customHeight="1">
      <c r="A951" s="175"/>
      <c r="B951" s="175"/>
      <c r="C951" s="174"/>
      <c r="D951" s="1025"/>
      <c r="E951" s="1025"/>
      <c r="F951" s="1025"/>
      <c r="G951" s="987"/>
      <c r="I951" s="489"/>
    </row>
    <row r="952" spans="1:9" ht="12.75" customHeight="1">
      <c r="A952" s="175"/>
      <c r="B952" s="484" t="s">
        <v>2744</v>
      </c>
      <c r="C952" s="174"/>
      <c r="D952" s="1276" t="s">
        <v>2139</v>
      </c>
      <c r="E952" s="1276"/>
      <c r="F952" s="1276"/>
      <c r="G952" s="987"/>
      <c r="I952" s="489"/>
    </row>
    <row r="953" spans="1:9" ht="12.75" customHeight="1">
      <c r="A953" s="175"/>
      <c r="B953" s="175"/>
      <c r="C953" s="174"/>
      <c r="D953" s="1276"/>
      <c r="E953" s="1276"/>
      <c r="F953" s="1276"/>
      <c r="G953" s="987"/>
      <c r="I953" s="489"/>
    </row>
    <row r="954" spans="1:9" ht="12.75" customHeight="1">
      <c r="A954" s="175"/>
      <c r="B954" s="175"/>
      <c r="C954" s="174"/>
      <c r="D954" s="1276"/>
      <c r="E954" s="1276"/>
      <c r="F954" s="1276"/>
      <c r="G954" s="987"/>
      <c r="I954" s="489"/>
    </row>
    <row r="955" spans="1:9" ht="12.75" customHeight="1">
      <c r="A955" s="175"/>
      <c r="B955" s="175"/>
      <c r="C955" s="174"/>
      <c r="D955" s="1276"/>
      <c r="E955" s="1276"/>
      <c r="F955" s="1276"/>
      <c r="G955" s="987"/>
      <c r="I955" s="489"/>
    </row>
    <row r="956" spans="1:9" ht="12.75" customHeight="1">
      <c r="A956" s="175"/>
      <c r="B956" s="175"/>
      <c r="C956" s="174"/>
      <c r="D956" s="1276"/>
      <c r="E956" s="1276"/>
      <c r="F956" s="1276"/>
      <c r="G956" s="987"/>
      <c r="I956" s="489"/>
    </row>
    <row r="957" spans="1:9" ht="12.75" customHeight="1">
      <c r="A957" s="175"/>
      <c r="B957" s="175"/>
      <c r="C957" s="174"/>
      <c r="D957" s="1276"/>
      <c r="E957" s="1276"/>
      <c r="F957" s="1276"/>
      <c r="G957" s="987"/>
      <c r="I957" s="489"/>
    </row>
    <row r="958" spans="1:9" ht="12.75" customHeight="1">
      <c r="A958" s="175"/>
      <c r="B958" s="175"/>
      <c r="C958" s="174"/>
      <c r="D958" s="1025"/>
      <c r="E958" s="1025"/>
      <c r="F958" s="1025"/>
      <c r="G958" s="987"/>
      <c r="I958" s="489"/>
    </row>
    <row r="959" spans="1:9" ht="12.75" customHeight="1">
      <c r="A959" s="988"/>
      <c r="B959" s="484" t="s">
        <v>2671</v>
      </c>
      <c r="C959" s="988"/>
      <c r="D959" s="1293" t="s">
        <v>1784</v>
      </c>
      <c r="E959" s="1293"/>
      <c r="F959" s="1293"/>
      <c r="G959" s="987"/>
      <c r="I959" s="489"/>
    </row>
    <row r="960" spans="1:9" ht="12.75" customHeight="1">
      <c r="A960" s="988"/>
      <c r="B960" s="988"/>
      <c r="C960" s="988"/>
      <c r="D960" s="1293"/>
      <c r="E960" s="1293"/>
      <c r="F960" s="1293"/>
      <c r="G960" s="987"/>
      <c r="I960" s="489"/>
    </row>
    <row r="961" spans="1:9" ht="12.75" customHeight="1">
      <c r="A961" s="988"/>
      <c r="B961" s="988"/>
      <c r="C961" s="988"/>
      <c r="D961" s="1293"/>
      <c r="E961" s="1293"/>
      <c r="F961" s="1293"/>
      <c r="G961" s="987"/>
      <c r="I961" s="489"/>
    </row>
    <row r="962" spans="1:9" ht="12.75" customHeight="1">
      <c r="A962" s="175"/>
      <c r="B962" s="175"/>
      <c r="C962" s="174"/>
      <c r="D962" s="1025"/>
      <c r="E962" s="1025"/>
      <c r="F962" s="1025"/>
      <c r="G962" s="987"/>
      <c r="I962" s="489"/>
    </row>
    <row r="963" spans="1:9" ht="12.75" customHeight="1">
      <c r="A963" s="175"/>
      <c r="B963" s="175"/>
      <c r="C963" s="174"/>
      <c r="D963" s="843"/>
      <c r="E963" s="3"/>
      <c r="F963" s="987"/>
      <c r="G963" s="987"/>
      <c r="I963" s="489"/>
    </row>
    <row r="964" spans="1:9" ht="12.75" customHeight="1">
      <c r="A964" s="175"/>
      <c r="B964" s="484" t="s">
        <v>2744</v>
      </c>
      <c r="C964" s="174"/>
      <c r="D964" s="1277" t="s">
        <v>1887</v>
      </c>
      <c r="E964" s="1277"/>
      <c r="F964" s="1277"/>
      <c r="G964" s="987"/>
      <c r="I964" s="489"/>
    </row>
    <row r="965" spans="1:9" ht="12.75" customHeight="1">
      <c r="A965" s="175"/>
      <c r="B965" s="175"/>
      <c r="C965" s="174"/>
      <c r="D965" s="1277"/>
      <c r="E965" s="1277"/>
      <c r="F965" s="1277"/>
      <c r="G965" s="987"/>
      <c r="I965" s="489"/>
    </row>
    <row r="966" spans="1:9" ht="12.75" customHeight="1">
      <c r="A966" s="175"/>
      <c r="B966" s="175"/>
      <c r="C966" s="174"/>
      <c r="D966" s="1277"/>
      <c r="E966" s="1277"/>
      <c r="F966" s="1277"/>
      <c r="G966" s="987"/>
      <c r="I966" s="489"/>
    </row>
    <row r="967" spans="1:9" ht="12.75" customHeight="1">
      <c r="A967" s="175"/>
      <c r="B967" s="175"/>
      <c r="C967" s="174"/>
      <c r="D967" s="1277"/>
      <c r="E967" s="1277"/>
      <c r="F967" s="1277"/>
      <c r="G967" s="987"/>
      <c r="I967" s="489"/>
    </row>
    <row r="968" spans="1:9" ht="12.75" customHeight="1">
      <c r="A968" s="988"/>
      <c r="B968" s="988"/>
      <c r="C968" s="988"/>
      <c r="D968" s="979"/>
      <c r="E968" s="979"/>
      <c r="F968" s="979"/>
      <c r="G968" s="979"/>
      <c r="I968" s="489"/>
    </row>
    <row r="969" spans="1:9" ht="12.75" customHeight="1">
      <c r="A969" s="353"/>
      <c r="B969" s="353"/>
      <c r="C969" s="353"/>
      <c r="D969" s="1299" t="s">
        <v>1785</v>
      </c>
      <c r="E969" s="1299"/>
      <c r="F969" s="1299"/>
      <c r="G969" s="3"/>
      <c r="I969" s="489"/>
    </row>
    <row r="970" spans="1:9" ht="12.75" customHeight="1">
      <c r="A970" s="175"/>
      <c r="B970" s="484" t="s">
        <v>2671</v>
      </c>
      <c r="C970" s="353"/>
      <c r="D970" s="1292" t="s">
        <v>1808</v>
      </c>
      <c r="E970" s="1292"/>
      <c r="F970" s="1292"/>
      <c r="G970" s="3"/>
      <c r="I970" s="489"/>
    </row>
    <row r="971" spans="1:9" ht="12.75" customHeight="1">
      <c r="A971" s="353"/>
      <c r="B971" s="353"/>
      <c r="C971" s="353"/>
      <c r="D971" s="3"/>
      <c r="E971" s="3"/>
      <c r="F971" s="3"/>
      <c r="G971" s="3"/>
      <c r="I971" s="489"/>
    </row>
    <row r="972" spans="1:9" ht="12.75" customHeight="1">
      <c r="A972" s="353"/>
      <c r="B972" s="353"/>
      <c r="C972" s="353"/>
      <c r="D972" s="1299" t="s">
        <v>1786</v>
      </c>
      <c r="E972" s="1299"/>
      <c r="F972" s="1299"/>
      <c r="G972"/>
      <c r="I972" s="489"/>
    </row>
    <row r="973" spans="1:9" ht="12.75" customHeight="1">
      <c r="A973" s="175"/>
      <c r="B973" s="484" t="s">
        <v>2671</v>
      </c>
      <c r="C973" s="353"/>
      <c r="D973" s="1266" t="s">
        <v>2073</v>
      </c>
      <c r="E973" s="1266"/>
      <c r="F973" s="1266"/>
      <c r="G973"/>
      <c r="I973" s="489"/>
    </row>
    <row r="974" spans="1:9" ht="12.75" customHeight="1">
      <c r="A974" s="175"/>
      <c r="B974" s="175"/>
      <c r="C974" s="353"/>
      <c r="D974" s="1266"/>
      <c r="E974" s="1266"/>
      <c r="F974" s="1266"/>
      <c r="G974"/>
      <c r="I974" s="489"/>
    </row>
    <row r="975" spans="1:9" ht="12.75" customHeight="1">
      <c r="A975" s="175"/>
      <c r="B975" s="175"/>
      <c r="C975" s="353"/>
      <c r="D975" s="1266"/>
      <c r="E975" s="1266"/>
      <c r="F975" s="1266"/>
      <c r="G975"/>
      <c r="I975" s="489"/>
    </row>
    <row r="976" spans="1:9" ht="12.75" customHeight="1">
      <c r="A976" s="175"/>
      <c r="B976" s="175"/>
      <c r="C976" s="353"/>
      <c r="D976" s="1266"/>
      <c r="E976" s="1266"/>
      <c r="F976" s="1266"/>
      <c r="G976"/>
      <c r="I976" s="489"/>
    </row>
    <row r="977" spans="1:9" ht="12.75" customHeight="1">
      <c r="A977" s="175"/>
      <c r="B977" s="175"/>
      <c r="C977" s="353"/>
      <c r="D977" s="1266"/>
      <c r="E977" s="1266"/>
      <c r="F977" s="1266"/>
      <c r="G977"/>
      <c r="I977" s="489"/>
    </row>
    <row r="978" spans="1:9" ht="12.75" customHeight="1">
      <c r="A978" s="175"/>
      <c r="B978" s="175"/>
      <c r="C978" s="353"/>
      <c r="D978" s="1266"/>
      <c r="E978" s="1266"/>
      <c r="F978" s="1266"/>
      <c r="G978"/>
      <c r="I978" s="489"/>
    </row>
    <row r="979" spans="1:9" ht="12.75" customHeight="1">
      <c r="A979" s="175"/>
      <c r="B979" s="175"/>
      <c r="C979" s="353"/>
      <c r="D979" s="1266"/>
      <c r="E979" s="1266"/>
      <c r="F979" s="1266"/>
      <c r="G979"/>
      <c r="I979" s="489"/>
    </row>
    <row r="980" spans="1:9" ht="12.75" customHeight="1">
      <c r="A980" s="175"/>
      <c r="B980" s="175"/>
      <c r="C980" s="353"/>
      <c r="D980" s="1266"/>
      <c r="E980" s="1266"/>
      <c r="F980" s="1266"/>
      <c r="G980"/>
      <c r="I980" s="489"/>
    </row>
    <row r="981" spans="1:9" ht="12.75" customHeight="1">
      <c r="A981" s="175"/>
      <c r="B981" s="175"/>
      <c r="C981" s="353"/>
      <c r="D981" s="1266"/>
      <c r="E981" s="1266"/>
      <c r="F981" s="1266"/>
      <c r="G981"/>
      <c r="I981" s="489"/>
    </row>
    <row r="982" spans="1:9" ht="12.75" customHeight="1">
      <c r="A982" s="175"/>
      <c r="B982" s="175"/>
      <c r="C982" s="353"/>
      <c r="D982" s="1266"/>
      <c r="E982" s="1266"/>
      <c r="F982" s="1266"/>
      <c r="G982"/>
      <c r="I982" s="489"/>
    </row>
    <row r="983" spans="1:9" ht="12.75" customHeight="1">
      <c r="A983" s="175"/>
      <c r="B983" s="175"/>
      <c r="C983" s="353"/>
      <c r="D983" s="1266"/>
      <c r="E983" s="1266"/>
      <c r="F983" s="1266"/>
      <c r="G983"/>
      <c r="I983" s="489"/>
    </row>
    <row r="984" spans="1:9" ht="12.75" customHeight="1">
      <c r="A984" s="175"/>
      <c r="B984" s="175"/>
      <c r="C984" s="353"/>
      <c r="D984" s="1266"/>
      <c r="E984" s="1266"/>
      <c r="F984" s="1266"/>
      <c r="G984"/>
      <c r="I984" s="489"/>
    </row>
    <row r="985" spans="1:9" ht="12.75" customHeight="1">
      <c r="A985" s="175"/>
      <c r="B985" s="175"/>
      <c r="C985" s="353"/>
      <c r="D985" s="1266"/>
      <c r="E985" s="1266"/>
      <c r="F985" s="1266"/>
      <c r="G985"/>
      <c r="I985" s="489"/>
    </row>
    <row r="986" spans="1:9" ht="12.75" customHeight="1">
      <c r="A986" s="175"/>
      <c r="B986" s="175"/>
      <c r="C986" s="353"/>
      <c r="D986" s="1266"/>
      <c r="E986" s="1266"/>
      <c r="F986" s="1266"/>
      <c r="G986"/>
      <c r="I986" s="489"/>
    </row>
    <row r="987" spans="1:9" ht="12.75" customHeight="1">
      <c r="A987" s="175"/>
      <c r="B987" s="175"/>
      <c r="C987" s="353"/>
      <c r="D987" s="1266"/>
      <c r="E987" s="1266"/>
      <c r="F987" s="1266"/>
      <c r="G987" s="3"/>
      <c r="I987" s="489"/>
    </row>
    <row r="988" spans="1:9" ht="12.75" customHeight="1">
      <c r="A988" s="353"/>
      <c r="B988" s="353"/>
      <c r="C988" s="353"/>
      <c r="D988" s="3"/>
      <c r="E988" s="3"/>
      <c r="F988" s="3"/>
      <c r="G988" s="3"/>
      <c r="I988" s="489"/>
    </row>
    <row r="989" spans="1:9" ht="12.75" customHeight="1">
      <c r="A989" s="1289" t="s">
        <v>1787</v>
      </c>
      <c r="B989" s="1289"/>
      <c r="C989" s="1289"/>
      <c r="D989" s="1289"/>
      <c r="E989" s="1289"/>
      <c r="F989" s="1289"/>
      <c r="G989" s="1289"/>
      <c r="H989" s="1027"/>
      <c r="I989" s="1152"/>
    </row>
    <row r="990" spans="1:9" ht="12.75" customHeight="1">
      <c r="A990" s="118"/>
      <c r="B990" s="118"/>
      <c r="C990" s="353"/>
      <c r="D990" s="3"/>
      <c r="E990" s="3"/>
      <c r="F990" s="3"/>
      <c r="G990" s="3"/>
      <c r="I990" s="489"/>
    </row>
    <row r="991" spans="1:9" ht="12.75" customHeight="1">
      <c r="A991" s="353"/>
      <c r="B991" s="353"/>
      <c r="C991" s="988"/>
      <c r="D991" s="1299" t="s">
        <v>1809</v>
      </c>
      <c r="E991" s="1299"/>
      <c r="F991" s="1299"/>
      <c r="G991" s="3"/>
      <c r="I991" s="489"/>
    </row>
    <row r="992" spans="1:9" ht="12.75" customHeight="1">
      <c r="A992" s="172"/>
      <c r="B992" s="172"/>
      <c r="C992" s="172"/>
      <c r="D992" s="1292" t="s">
        <v>1788</v>
      </c>
      <c r="E992" s="1292"/>
      <c r="F992" s="1292"/>
      <c r="G992" s="3"/>
      <c r="I992" s="489"/>
    </row>
    <row r="993" spans="1:9" ht="12.75" customHeight="1">
      <c r="A993" s="172"/>
      <c r="B993" s="172"/>
      <c r="C993" s="172"/>
      <c r="D993" s="3"/>
      <c r="E993" s="3"/>
      <c r="F993" s="987"/>
      <c r="G993"/>
      <c r="I993" s="489"/>
    </row>
    <row r="994" spans="1:9" ht="12.75" customHeight="1">
      <c r="A994" s="353"/>
      <c r="B994" s="484" t="s">
        <v>2744</v>
      </c>
      <c r="C994" s="353"/>
      <c r="D994" s="1300" t="s">
        <v>1917</v>
      </c>
      <c r="E994" s="1300"/>
      <c r="F994" s="1300"/>
      <c r="G994"/>
      <c r="I994" s="489"/>
    </row>
    <row r="995" spans="1:9" ht="12.75" customHeight="1">
      <c r="A995" s="353"/>
      <c r="B995" s="353"/>
      <c r="C995" s="353"/>
      <c r="D995" s="1300"/>
      <c r="E995" s="1300"/>
      <c r="F995" s="1300"/>
      <c r="G995"/>
      <c r="I995" s="489"/>
    </row>
    <row r="996" spans="1:9" ht="12.75" customHeight="1">
      <c r="A996" s="353"/>
      <c r="B996" s="353"/>
      <c r="C996" s="353"/>
      <c r="D996" s="1037"/>
      <c r="E996" s="1035" t="s">
        <v>1918</v>
      </c>
      <c r="F996" s="1037"/>
      <c r="G996"/>
      <c r="I996" s="489"/>
    </row>
    <row r="997" spans="1:9" ht="12.75" customHeight="1">
      <c r="A997" s="353"/>
      <c r="B997" s="353"/>
      <c r="C997" s="353"/>
      <c r="D997" s="1271" t="s">
        <v>1916</v>
      </c>
      <c r="E997" s="1271"/>
      <c r="F997" s="1271"/>
      <c r="G997"/>
      <c r="I997" s="489"/>
    </row>
    <row r="998" spans="1:9" ht="12.75" customHeight="1">
      <c r="A998" s="353"/>
      <c r="B998" s="353"/>
      <c r="C998" s="353"/>
      <c r="D998" s="1271"/>
      <c r="E998" s="1271"/>
      <c r="F998" s="1271"/>
      <c r="G998"/>
      <c r="I998" s="489"/>
    </row>
    <row r="999" spans="1:9" ht="12.75" customHeight="1">
      <c r="A999" s="174"/>
      <c r="B999" s="174"/>
      <c r="C999" s="174"/>
      <c r="D999" s="1271"/>
      <c r="E999" s="1271"/>
      <c r="F999" s="1271"/>
      <c r="G999"/>
      <c r="I999" s="489"/>
    </row>
    <row r="1000" spans="1:9" ht="12.75" customHeight="1">
      <c r="A1000" s="174"/>
      <c r="B1000" s="174"/>
      <c r="C1000" s="174"/>
      <c r="D1000" s="1271"/>
      <c r="E1000" s="1271"/>
      <c r="F1000" s="1271"/>
      <c r="G1000"/>
      <c r="I1000" s="489"/>
    </row>
    <row r="1001" spans="1:9" ht="12.75" customHeight="1">
      <c r="A1001" s="174"/>
      <c r="B1001" s="174"/>
      <c r="C1001" s="174"/>
      <c r="D1001" s="334"/>
      <c r="E1001" s="334"/>
      <c r="F1001" s="334"/>
      <c r="G1001"/>
      <c r="I1001" s="489"/>
    </row>
    <row r="1002" spans="1:9" ht="12.75" customHeight="1">
      <c r="A1002" s="174"/>
      <c r="B1002" s="484" t="s">
        <v>2744</v>
      </c>
      <c r="C1002" s="174"/>
      <c r="D1002" s="1266" t="s">
        <v>1789</v>
      </c>
      <c r="E1002" s="1266"/>
      <c r="F1002" s="1266"/>
      <c r="G1002"/>
      <c r="I1002" s="489"/>
    </row>
    <row r="1003" spans="1:9" ht="12.75" customHeight="1">
      <c r="A1003" s="174"/>
      <c r="B1003" s="174"/>
      <c r="C1003" s="174"/>
      <c r="D1003" s="1266"/>
      <c r="E1003" s="1266"/>
      <c r="F1003" s="1266"/>
      <c r="G1003"/>
      <c r="I1003" s="489"/>
    </row>
    <row r="1004" spans="1:9" ht="12.75" customHeight="1">
      <c r="A1004" s="174"/>
      <c r="B1004" s="174"/>
      <c r="C1004" s="174"/>
      <c r="D1004" s="1266"/>
      <c r="E1004" s="1266"/>
      <c r="F1004" s="1266"/>
      <c r="G1004"/>
      <c r="I1004" s="489"/>
    </row>
    <row r="1005" spans="1:9" ht="12.75" customHeight="1">
      <c r="A1005" s="174"/>
      <c r="B1005" s="174"/>
      <c r="C1005" s="174"/>
      <c r="D1005" s="1266"/>
      <c r="E1005" s="1266"/>
      <c r="F1005" s="1266"/>
      <c r="G1005"/>
      <c r="I1005" s="489"/>
    </row>
    <row r="1006" spans="1:9" ht="12.75" customHeight="1">
      <c r="A1006" s="174"/>
      <c r="B1006" s="174"/>
      <c r="C1006" s="174"/>
      <c r="D1006" s="440"/>
      <c r="E1006" s="440"/>
      <c r="F1006" s="440"/>
      <c r="G1006"/>
      <c r="I1006" s="489"/>
    </row>
    <row r="1007" spans="1:9" ht="12.75" customHeight="1">
      <c r="A1007" s="174"/>
      <c r="B1007" s="484" t="s">
        <v>2671</v>
      </c>
      <c r="C1007" s="174"/>
      <c r="D1007" s="1266" t="s">
        <v>2232</v>
      </c>
      <c r="E1007" s="1266"/>
      <c r="F1007" s="1266"/>
      <c r="G1007"/>
      <c r="I1007" s="489"/>
    </row>
    <row r="1008" spans="1:9" ht="12.75" customHeight="1">
      <c r="A1008" s="174"/>
      <c r="B1008" s="174"/>
      <c r="C1008" s="174"/>
      <c r="D1008" s="1266"/>
      <c r="E1008" s="1266"/>
      <c r="F1008" s="1266"/>
      <c r="G1008"/>
      <c r="I1008" s="489"/>
    </row>
    <row r="1009" spans="1:9" ht="12.75" customHeight="1">
      <c r="A1009" s="174"/>
      <c r="B1009" s="174"/>
      <c r="C1009" s="174"/>
      <c r="D1009" s="440"/>
      <c r="E1009" s="440"/>
      <c r="F1009" s="440"/>
      <c r="G1009"/>
      <c r="I1009" s="489"/>
    </row>
    <row r="1010" spans="1:9" ht="12.75" customHeight="1">
      <c r="A1010" s="175"/>
      <c r="B1010" s="484" t="s">
        <v>2744</v>
      </c>
      <c r="C1010" s="353"/>
      <c r="D1010" s="1292" t="s">
        <v>1790</v>
      </c>
      <c r="E1010" s="1292"/>
      <c r="F1010" s="1292"/>
      <c r="G1010"/>
      <c r="I1010" s="489"/>
    </row>
    <row r="1011" spans="1:9" ht="12.75" customHeight="1">
      <c r="A1011" s="353"/>
      <c r="B1011" s="353"/>
      <c r="C1011" s="353"/>
      <c r="D1011" s="3"/>
      <c r="E1011" s="3"/>
      <c r="F1011" s="3"/>
      <c r="G1011"/>
      <c r="I1011" s="489"/>
    </row>
    <row r="1012" spans="1:9" ht="12.75" customHeight="1">
      <c r="A1012" s="175"/>
      <c r="B1012" s="484" t="s">
        <v>2671</v>
      </c>
      <c r="C1012" s="353"/>
      <c r="D1012" s="1292" t="s">
        <v>1791</v>
      </c>
      <c r="E1012" s="1292"/>
      <c r="F1012" s="1292"/>
      <c r="G1012"/>
      <c r="I1012" s="489"/>
    </row>
    <row r="1013" spans="1:9" ht="12.75" customHeight="1">
      <c r="A1013" s="353"/>
      <c r="B1013" s="353"/>
      <c r="C1013" s="353"/>
      <c r="D1013" s="118"/>
      <c r="E1013" s="3"/>
      <c r="F1013" s="3"/>
      <c r="G1013"/>
      <c r="I1013" s="489"/>
    </row>
    <row r="1014" spans="1:9" ht="12.75" customHeight="1">
      <c r="A1014" s="175"/>
      <c r="B1014" s="484" t="s">
        <v>2744</v>
      </c>
      <c r="C1014" s="353"/>
      <c r="D1014" s="1292" t="s">
        <v>1792</v>
      </c>
      <c r="E1014" s="1292"/>
      <c r="F1014" s="1292"/>
      <c r="G1014"/>
      <c r="I1014" s="489"/>
    </row>
    <row r="1015" spans="1:9" ht="12.75" customHeight="1">
      <c r="A1015" s="353"/>
      <c r="B1015" s="353"/>
      <c r="C1015" s="353"/>
      <c r="D1015" s="118"/>
      <c r="E1015" s="3"/>
      <c r="F1015" s="3"/>
      <c r="G1015"/>
      <c r="I1015" s="489"/>
    </row>
    <row r="1016" spans="1:9" ht="12.75" customHeight="1">
      <c r="A1016" s="175"/>
      <c r="B1016" s="484" t="s">
        <v>2671</v>
      </c>
      <c r="C1016" s="353"/>
      <c r="D1016" s="1266" t="s">
        <v>1793</v>
      </c>
      <c r="E1016" s="1266"/>
      <c r="F1016" s="1266"/>
      <c r="G1016"/>
      <c r="I1016" s="489"/>
    </row>
    <row r="1017" spans="1:9" ht="12.75" customHeight="1">
      <c r="A1017" s="175"/>
      <c r="B1017" s="175"/>
      <c r="C1017" s="353"/>
      <c r="D1017" s="1266"/>
      <c r="E1017" s="1266"/>
      <c r="F1017" s="1266"/>
      <c r="G1017"/>
      <c r="I1017" s="489"/>
    </row>
    <row r="1018" spans="1:9" ht="12.75" customHeight="1">
      <c r="A1018" s="175"/>
      <c r="B1018" s="175"/>
      <c r="C1018" s="353"/>
      <c r="D1018" s="118"/>
      <c r="E1018" s="3"/>
      <c r="F1018" s="3"/>
      <c r="G1018" s="3"/>
      <c r="I1018" s="489"/>
    </row>
    <row r="1019" spans="1:9" ht="12.75" customHeight="1">
      <c r="A1019" s="253"/>
      <c r="B1019" s="484" t="s">
        <v>2671</v>
      </c>
      <c r="C1019" s="999"/>
      <c r="D1019" s="1298" t="s">
        <v>1794</v>
      </c>
      <c r="E1019" s="1298"/>
      <c r="F1019" s="1298"/>
      <c r="G1019" s="1000"/>
      <c r="I1019" s="489"/>
    </row>
    <row r="1020" spans="1:9" ht="12.75" customHeight="1">
      <c r="A1020" s="999"/>
      <c r="B1020" s="999"/>
      <c r="C1020" s="999"/>
      <c r="D1020" s="1298"/>
      <c r="E1020" s="1298"/>
      <c r="F1020" s="1298"/>
      <c r="G1020" s="1000"/>
      <c r="I1020" s="489"/>
    </row>
    <row r="1021" spans="1:9" ht="12.75" customHeight="1">
      <c r="A1021" s="999"/>
      <c r="B1021" s="999"/>
      <c r="C1021" s="999"/>
      <c r="D1021" s="983"/>
      <c r="E1021" s="1000"/>
      <c r="F1021" s="1000"/>
      <c r="G1021" s="1000"/>
      <c r="I1021" s="489"/>
    </row>
    <row r="1022" spans="1:9" ht="12.75" customHeight="1">
      <c r="A1022" s="253"/>
      <c r="B1022" s="484" t="s">
        <v>2671</v>
      </c>
      <c r="C1022" s="999"/>
      <c r="D1022" s="1288" t="s">
        <v>1795</v>
      </c>
      <c r="E1022" s="1288"/>
      <c r="F1022" s="1288"/>
      <c r="G1022" s="1000"/>
      <c r="I1022" s="489"/>
    </row>
    <row r="1023" spans="1:9" ht="12.75" customHeight="1">
      <c r="A1023" s="999"/>
      <c r="B1023" s="999"/>
      <c r="C1023" s="999"/>
      <c r="D1023" s="983"/>
      <c r="E1023" s="1000"/>
      <c r="F1023" s="1000"/>
      <c r="G1023" s="1000"/>
      <c r="I1023" s="489"/>
    </row>
    <row r="1024" spans="1:9" ht="12.75" customHeight="1">
      <c r="A1024" s="175"/>
      <c r="B1024" s="484" t="s">
        <v>2744</v>
      </c>
      <c r="C1024" s="353"/>
      <c r="D1024" s="1292" t="s">
        <v>1796</v>
      </c>
      <c r="E1024" s="1292"/>
      <c r="F1024" s="1292"/>
      <c r="G1024" s="3"/>
      <c r="I1024" s="489"/>
    </row>
    <row r="1025" spans="1:9" ht="12.75" customHeight="1">
      <c r="A1025" s="175"/>
      <c r="B1025" s="175"/>
      <c r="C1025" s="353"/>
      <c r="D1025" s="118"/>
      <c r="E1025" s="3"/>
      <c r="F1025" s="3"/>
      <c r="G1025" s="3"/>
      <c r="I1025" s="489"/>
    </row>
    <row r="1026" spans="1:9" ht="12.75" customHeight="1">
      <c r="A1026" s="175"/>
      <c r="B1026" s="484" t="s">
        <v>2671</v>
      </c>
      <c r="C1026" s="353"/>
      <c r="D1026" s="1266" t="s">
        <v>1797</v>
      </c>
      <c r="E1026" s="1266"/>
      <c r="F1026" s="1266"/>
      <c r="G1026" s="3"/>
      <c r="I1026" s="489"/>
    </row>
    <row r="1027" spans="1:9" ht="12.75" customHeight="1">
      <c r="A1027" s="175"/>
      <c r="B1027" s="175"/>
      <c r="C1027" s="353"/>
      <c r="D1027" s="1266"/>
      <c r="E1027" s="1266"/>
      <c r="F1027" s="1266"/>
      <c r="G1027" s="3"/>
      <c r="I1027" s="489"/>
    </row>
    <row r="1028" spans="1:9" ht="12.75" customHeight="1">
      <c r="A1028" s="353"/>
      <c r="B1028" s="353"/>
      <c r="C1028" s="353"/>
      <c r="D1028" s="3"/>
      <c r="E1028" s="3"/>
      <c r="F1028" s="3"/>
      <c r="G1028" s="3"/>
      <c r="I1028" s="489"/>
    </row>
    <row r="1029" spans="1:9" ht="12.75" customHeight="1">
      <c r="A1029" s="1289" t="s">
        <v>1798</v>
      </c>
      <c r="B1029" s="1289"/>
      <c r="C1029" s="1289"/>
      <c r="D1029" s="1289"/>
      <c r="E1029" s="1289"/>
      <c r="F1029" s="1289"/>
      <c r="G1029" s="1289"/>
      <c r="H1029" s="1027"/>
      <c r="I1029" s="1152"/>
    </row>
    <row r="1030" spans="1:9" ht="12.75" customHeight="1">
      <c r="A1030" s="353"/>
      <c r="B1030" s="353"/>
      <c r="C1030" s="353"/>
      <c r="D1030" s="3"/>
      <c r="E1030" s="3"/>
      <c r="F1030" s="3"/>
      <c r="G1030" s="3"/>
      <c r="I1030" s="489"/>
    </row>
    <row r="1031" spans="1:9" ht="12.75" customHeight="1">
      <c r="A1031" s="353"/>
      <c r="B1031" s="353"/>
      <c r="C1031" s="353"/>
      <c r="D1031" s="1287" t="s">
        <v>1799</v>
      </c>
      <c r="E1031" s="1287"/>
      <c r="F1031" s="1287"/>
      <c r="G1031" s="3"/>
      <c r="I1031" s="489"/>
    </row>
    <row r="1032" spans="1:9" ht="12.75" customHeight="1">
      <c r="A1032" s="353"/>
      <c r="B1032" s="353"/>
      <c r="C1032" s="353"/>
      <c r="D1032" s="1288" t="s">
        <v>1800</v>
      </c>
      <c r="E1032" s="1288"/>
      <c r="F1032" s="1288"/>
      <c r="G1032" s="3"/>
      <c r="I1032" s="489"/>
    </row>
    <row r="1033" spans="1:9" ht="12.75" customHeight="1">
      <c r="A1033" s="172"/>
      <c r="B1033" s="172"/>
      <c r="C1033" s="172"/>
      <c r="D1033" s="3"/>
      <c r="E1033" s="3"/>
      <c r="F1033" s="3"/>
      <c r="G1033" s="3"/>
      <c r="I1033" s="489"/>
    </row>
    <row r="1034" spans="1:9" ht="12.75" customHeight="1">
      <c r="A1034" s="175"/>
      <c r="B1034" s="175"/>
      <c r="C1034" s="174"/>
      <c r="D1034" s="1287" t="s">
        <v>1814</v>
      </c>
      <c r="E1034" s="1287"/>
      <c r="F1034" s="1287"/>
      <c r="G1034" s="3"/>
      <c r="I1034" s="489"/>
    </row>
    <row r="1035" spans="1:9" ht="12.75" customHeight="1">
      <c r="A1035" s="353"/>
      <c r="B1035" s="484" t="s">
        <v>2744</v>
      </c>
      <c r="C1035" s="353"/>
      <c r="D1035" s="1288" t="s">
        <v>1272</v>
      </c>
      <c r="E1035" s="1288"/>
      <c r="F1035" s="1288"/>
      <c r="G1035" s="3"/>
      <c r="I1035" s="489"/>
    </row>
    <row r="1036" spans="1:9" ht="12.75" customHeight="1">
      <c r="A1036" s="353"/>
      <c r="B1036" s="175"/>
      <c r="C1036" s="353"/>
      <c r="D1036" s="1288" t="s">
        <v>1801</v>
      </c>
      <c r="E1036" s="1288"/>
      <c r="F1036" s="1288"/>
      <c r="G1036" s="3"/>
      <c r="I1036" s="489"/>
    </row>
    <row r="1037" spans="1:9" ht="12.75" customHeight="1">
      <c r="A1037" s="353"/>
      <c r="B1037" s="353"/>
      <c r="C1037" s="353"/>
      <c r="D1037" s="1288"/>
      <c r="E1037" s="1288"/>
      <c r="F1037" s="1288"/>
      <c r="G1037" s="3"/>
      <c r="I1037" s="489"/>
    </row>
    <row r="1038" spans="1:9" ht="12.75" customHeight="1">
      <c r="A1038" s="1289" t="s">
        <v>1810</v>
      </c>
      <c r="B1038" s="1289"/>
      <c r="C1038" s="1289"/>
      <c r="D1038" s="1289"/>
      <c r="E1038" s="1289"/>
      <c r="F1038" s="1289"/>
      <c r="G1038" s="1289"/>
      <c r="H1038" s="1027"/>
      <c r="I1038" s="1152"/>
    </row>
    <row r="1039" spans="1:9" ht="12.75" customHeight="1">
      <c r="A1039" s="118"/>
      <c r="B1039" s="118"/>
      <c r="C1039" s="353"/>
      <c r="D1039" s="3"/>
      <c r="E1039" s="3"/>
      <c r="F1039" s="3"/>
      <c r="G1039" s="3"/>
      <c r="I1039" s="489"/>
    </row>
    <row r="1040" spans="1:9" ht="12.75" hidden="1" customHeight="1">
      <c r="A1040" s="118"/>
      <c r="B1040" s="401"/>
      <c r="D1040" s="1286" t="s">
        <v>1273</v>
      </c>
      <c r="E1040" s="1286"/>
      <c r="F1040" s="1286"/>
      <c r="G1040" s="3"/>
      <c r="I1040" s="489"/>
    </row>
    <row r="1041" spans="1:9" ht="12.75" hidden="1" customHeight="1">
      <c r="A1041" s="118"/>
      <c r="B1041" s="484" t="s">
        <v>307</v>
      </c>
      <c r="D1041" s="1285" t="s">
        <v>1272</v>
      </c>
      <c r="E1041" s="1285"/>
      <c r="F1041" s="1285"/>
      <c r="G1041" s="3"/>
      <c r="I1041" s="489"/>
    </row>
    <row r="1042" spans="1:9" ht="12.75" hidden="1" customHeight="1">
      <c r="A1042" s="118"/>
      <c r="B1042" s="401"/>
      <c r="D1042" s="1285" t="s">
        <v>1811</v>
      </c>
      <c r="E1042" s="1285"/>
      <c r="F1042" s="1285"/>
      <c r="G1042" s="3"/>
      <c r="I1042" s="489"/>
    </row>
    <row r="1043" spans="1:9" ht="12.75" hidden="1" customHeight="1">
      <c r="A1043" s="118"/>
      <c r="B1043" s="401"/>
      <c r="D1043" s="443"/>
      <c r="E1043" s="443"/>
      <c r="F1043" s="443"/>
      <c r="G1043" s="3"/>
      <c r="I1043" s="489"/>
    </row>
    <row r="1044" spans="1:9" ht="12.75" customHeight="1">
      <c r="A1044" s="118"/>
      <c r="B1044" s="118"/>
      <c r="C1044" s="353"/>
      <c r="D1044" s="1290" t="s">
        <v>1067</v>
      </c>
      <c r="E1044" s="1290"/>
      <c r="F1044" s="1290"/>
      <c r="G1044" s="3"/>
      <c r="I1044" s="489"/>
    </row>
    <row r="1045" spans="1:9" ht="12.75" customHeight="1">
      <c r="A1045" s="318"/>
      <c r="B1045" s="318"/>
      <c r="C1045" s="318"/>
      <c r="D1045" s="1291" t="s">
        <v>2250</v>
      </c>
      <c r="E1045" s="1291"/>
      <c r="F1045" s="1291"/>
      <c r="G1045" s="98"/>
      <c r="I1045" s="489"/>
    </row>
    <row r="1046" spans="1:9" ht="12.75" customHeight="1">
      <c r="A1046" s="175"/>
      <c r="B1046" s="484" t="s">
        <v>2671</v>
      </c>
      <c r="C1046" s="353"/>
      <c r="D1046" s="1291" t="s">
        <v>986</v>
      </c>
      <c r="E1046" s="1291"/>
      <c r="F1046" s="1291"/>
      <c r="G1046" s="3"/>
      <c r="I1046" s="489"/>
    </row>
    <row r="1047" spans="1:9" ht="12.75" customHeight="1">
      <c r="A1047" s="353"/>
      <c r="B1047" s="353"/>
      <c r="C1047" s="353"/>
      <c r="D1047" s="1035" t="s">
        <v>1919</v>
      </c>
      <c r="E1047" s="96"/>
      <c r="F1047" s="96"/>
      <c r="G1047" s="3"/>
      <c r="I1047" s="489"/>
    </row>
    <row r="1048" spans="1:9">
      <c r="A1048" s="401"/>
      <c r="B1048" s="401"/>
      <c r="C1048" s="401"/>
      <c r="I1048" s="489"/>
    </row>
    <row r="1049" spans="1:9">
      <c r="A1049" s="1289" t="s">
        <v>1831</v>
      </c>
      <c r="B1049" s="1289"/>
      <c r="C1049" s="1289"/>
      <c r="D1049" s="1289"/>
      <c r="E1049" s="1289"/>
      <c r="F1049" s="1289"/>
      <c r="G1049" s="1289"/>
      <c r="H1049" s="1027"/>
      <c r="I1049" s="1152"/>
    </row>
    <row r="1050" spans="1:9">
      <c r="A1050" s="401"/>
      <c r="B1050" s="401"/>
      <c r="C1050" s="401"/>
      <c r="I1050" s="489"/>
    </row>
    <row r="1051" spans="1:9">
      <c r="A1051" s="401"/>
      <c r="B1051" s="401"/>
      <c r="C1051" s="401"/>
      <c r="D1051" s="403" t="s">
        <v>1817</v>
      </c>
      <c r="I1051" s="489"/>
    </row>
    <row r="1052" spans="1:9">
      <c r="A1052" s="401"/>
      <c r="B1052" s="401"/>
      <c r="C1052" s="401"/>
      <c r="D1052" s="401" t="s">
        <v>1816</v>
      </c>
      <c r="I1052" s="489"/>
    </row>
    <row r="1053" spans="1:9">
      <c r="A1053" s="401"/>
      <c r="B1053" s="401"/>
      <c r="C1053" s="401"/>
      <c r="D1053" s="403"/>
      <c r="I1053" s="489"/>
    </row>
    <row r="1054" spans="1:9">
      <c r="A1054" s="401"/>
      <c r="B1054" s="484" t="s">
        <v>2671</v>
      </c>
      <c r="C1054" s="401"/>
      <c r="D1054" s="1295" t="s">
        <v>1815</v>
      </c>
      <c r="E1054" s="1295"/>
      <c r="F1054" s="1295"/>
      <c r="I1054" s="489"/>
    </row>
    <row r="1055" spans="1:9">
      <c r="A1055" s="401"/>
      <c r="B1055" s="401"/>
      <c r="C1055" s="401"/>
      <c r="D1055" s="1295"/>
      <c r="E1055" s="1295"/>
      <c r="F1055" s="1295"/>
      <c r="I1055" s="489"/>
    </row>
    <row r="1056" spans="1:9">
      <c r="A1056" s="401"/>
      <c r="B1056" s="401"/>
      <c r="C1056" s="401"/>
      <c r="D1056" s="1295"/>
      <c r="E1056" s="1295"/>
      <c r="F1056" s="1295"/>
      <c r="I1056" s="489"/>
    </row>
    <row r="1057" spans="1:9">
      <c r="A1057" s="401"/>
      <c r="B1057" s="401"/>
      <c r="C1057" s="401"/>
      <c r="D1057" s="1295"/>
      <c r="E1057" s="1295"/>
      <c r="F1057" s="1295"/>
      <c r="I1057" s="489"/>
    </row>
    <row r="1058" spans="1:9">
      <c r="A1058" s="401"/>
      <c r="B1058" s="401"/>
      <c r="C1058" s="401"/>
      <c r="I1058" s="489"/>
    </row>
    <row r="1059" spans="1:9">
      <c r="A1059" s="401"/>
      <c r="B1059" s="401"/>
      <c r="C1059" s="401"/>
      <c r="D1059" s="403" t="s">
        <v>1314</v>
      </c>
      <c r="I1059" s="489"/>
    </row>
    <row r="1060" spans="1:9">
      <c r="A1060" s="401"/>
      <c r="B1060" s="401"/>
      <c r="C1060" s="401"/>
      <c r="D1060" s="401" t="s">
        <v>1818</v>
      </c>
      <c r="I1060" s="489"/>
    </row>
    <row r="1061" spans="1:9">
      <c r="A1061" s="401"/>
      <c r="B1061" s="401"/>
      <c r="C1061" s="401"/>
      <c r="I1061" s="489"/>
    </row>
    <row r="1062" spans="1:9">
      <c r="A1062" s="401"/>
      <c r="B1062" s="484" t="s">
        <v>2744</v>
      </c>
      <c r="C1062" s="401"/>
      <c r="D1062" s="401" t="s">
        <v>1813</v>
      </c>
      <c r="I1062" s="489"/>
    </row>
    <row r="1063" spans="1:9">
      <c r="A1063" s="401"/>
      <c r="B1063" s="401"/>
      <c r="C1063" s="401"/>
      <c r="I1063" s="489"/>
    </row>
    <row r="1064" spans="1:9">
      <c r="A1064" s="401"/>
      <c r="B1064" s="484" t="s">
        <v>2671</v>
      </c>
      <c r="C1064" s="401"/>
      <c r="D1064" s="1295" t="s">
        <v>1819</v>
      </c>
      <c r="E1064" s="1295"/>
      <c r="F1064" s="1295"/>
      <c r="I1064" s="489"/>
    </row>
    <row r="1065" spans="1:9">
      <c r="A1065" s="401"/>
      <c r="B1065" s="401"/>
      <c r="C1065" s="401"/>
      <c r="D1065" s="1295"/>
      <c r="E1065" s="1295"/>
      <c r="F1065" s="1295"/>
      <c r="I1065" s="489"/>
    </row>
    <row r="1066" spans="1:9">
      <c r="A1066" s="401"/>
      <c r="B1066" s="401"/>
      <c r="C1066" s="401"/>
      <c r="D1066" s="1295"/>
      <c r="E1066" s="1295"/>
      <c r="F1066" s="1295"/>
      <c r="I1066" s="489"/>
    </row>
    <row r="1067" spans="1:9">
      <c r="A1067" s="401"/>
      <c r="B1067" s="401"/>
      <c r="C1067" s="401"/>
      <c r="D1067" s="1295"/>
      <c r="E1067" s="1295"/>
      <c r="F1067" s="1295"/>
      <c r="I1067" s="489"/>
    </row>
    <row r="1068" spans="1:9">
      <c r="A1068" s="401"/>
      <c r="B1068" s="401"/>
      <c r="C1068" s="401"/>
      <c r="D1068" s="1295"/>
      <c r="E1068" s="1295"/>
      <c r="F1068" s="1295"/>
      <c r="I1068" s="489"/>
    </row>
    <row r="1069" spans="1:9">
      <c r="A1069" s="401"/>
      <c r="B1069" s="401"/>
      <c r="C1069" s="401"/>
      <c r="I1069" s="489"/>
    </row>
    <row r="1070" spans="1:9">
      <c r="A1070" s="1289" t="s">
        <v>1820</v>
      </c>
      <c r="B1070" s="1289"/>
      <c r="C1070" s="1289"/>
      <c r="D1070" s="1289"/>
      <c r="E1070" s="1289"/>
      <c r="F1070" s="1289"/>
      <c r="G1070" s="1289"/>
      <c r="H1070" s="1027"/>
      <c r="I1070" s="1152"/>
    </row>
    <row r="1071" spans="1:9">
      <c r="A1071" s="401"/>
      <c r="B1071" s="401"/>
      <c r="C1071" s="401"/>
      <c r="I1071" s="489"/>
    </row>
    <row r="1072" spans="1:9">
      <c r="A1072" s="401"/>
      <c r="B1072" s="401"/>
      <c r="C1072" s="401"/>
      <c r="I1072" s="489"/>
    </row>
    <row r="1073" spans="1:9">
      <c r="A1073" s="401"/>
      <c r="B1073" s="484" t="s">
        <v>2744</v>
      </c>
      <c r="C1073" s="401"/>
      <c r="D1073" s="526" t="s">
        <v>1823</v>
      </c>
      <c r="I1073" s="489"/>
    </row>
    <row r="1074" spans="1:9">
      <c r="A1074" s="401"/>
      <c r="B1074" s="401"/>
      <c r="C1074" s="401"/>
      <c r="D1074" s="526" t="s">
        <v>1825</v>
      </c>
      <c r="I1074" s="489"/>
    </row>
    <row r="1075" spans="1:9">
      <c r="A1075" s="401"/>
      <c r="B1075" s="401"/>
      <c r="C1075" s="401"/>
      <c r="D1075" s="526"/>
      <c r="I1075" s="489"/>
    </row>
    <row r="1076" spans="1:9">
      <c r="A1076" s="401"/>
      <c r="B1076" s="484" t="s">
        <v>2671</v>
      </c>
      <c r="C1076" s="401"/>
      <c r="D1076" s="526" t="s">
        <v>1826</v>
      </c>
      <c r="I1076" s="489"/>
    </row>
    <row r="1077" spans="1:9">
      <c r="A1077" s="401"/>
      <c r="B1077" s="401"/>
      <c r="C1077" s="401"/>
      <c r="D1077" s="526" t="s">
        <v>1824</v>
      </c>
      <c r="I1077" s="489"/>
    </row>
    <row r="1078" spans="1:9">
      <c r="A1078" s="401"/>
      <c r="B1078" s="401"/>
      <c r="C1078" s="401"/>
      <c r="D1078" s="526"/>
      <c r="I1078" s="489"/>
    </row>
    <row r="1079" spans="1:9">
      <c r="A1079" s="401"/>
      <c r="B1079" s="484" t="s">
        <v>2671</v>
      </c>
      <c r="C1079" s="401"/>
      <c r="D1079" s="119" t="s">
        <v>1829</v>
      </c>
      <c r="I1079" s="489"/>
    </row>
    <row r="1080" spans="1:9">
      <c r="A1080" s="401"/>
      <c r="B1080" s="401"/>
      <c r="C1080" s="401"/>
      <c r="D1080" s="1266" t="s">
        <v>1830</v>
      </c>
      <c r="E1080" s="1266"/>
      <c r="F1080" s="1266"/>
      <c r="I1080" s="489"/>
    </row>
    <row r="1081" spans="1:9">
      <c r="A1081" s="401"/>
      <c r="B1081" s="401"/>
      <c r="C1081" s="401"/>
      <c r="D1081" s="1266"/>
      <c r="E1081" s="1266"/>
      <c r="F1081" s="1266"/>
      <c r="I1081" s="489"/>
    </row>
    <row r="1082" spans="1:9">
      <c r="A1082" s="401"/>
      <c r="B1082" s="401"/>
      <c r="C1082" s="401"/>
      <c r="D1082" s="1266"/>
      <c r="E1082" s="1266"/>
      <c r="F1082" s="1266"/>
      <c r="I1082" s="489"/>
    </row>
    <row r="1083" spans="1:9">
      <c r="A1083" s="401"/>
      <c r="B1083" s="401"/>
      <c r="C1083" s="401"/>
      <c r="D1083" s="1266"/>
      <c r="E1083" s="1266"/>
      <c r="F1083" s="1266"/>
      <c r="I1083" s="489"/>
    </row>
    <row r="1084" spans="1:9">
      <c r="A1084" s="401"/>
      <c r="B1084" s="401"/>
      <c r="C1084" s="401"/>
      <c r="D1084" s="119" t="s">
        <v>1828</v>
      </c>
      <c r="I1084" s="489"/>
    </row>
    <row r="1085" spans="1:9">
      <c r="A1085" s="401"/>
      <c r="B1085" s="401"/>
      <c r="C1085" s="401"/>
      <c r="D1085" s="119"/>
      <c r="I1085" s="489"/>
    </row>
    <row r="1086" spans="1:9">
      <c r="A1086" s="401"/>
      <c r="B1086" s="401"/>
      <c r="C1086" s="401"/>
      <c r="D1086" s="526" t="s">
        <v>1821</v>
      </c>
      <c r="I1086" s="489"/>
    </row>
    <row r="1087" spans="1:9">
      <c r="A1087" s="401"/>
      <c r="B1087" s="484" t="s">
        <v>2671</v>
      </c>
      <c r="C1087" s="401"/>
      <c r="D1087" s="1294" t="s">
        <v>1822</v>
      </c>
      <c r="E1087" s="1294"/>
      <c r="F1087" s="1294"/>
      <c r="I1087" s="489"/>
    </row>
    <row r="1088" spans="1:9">
      <c r="A1088" s="401"/>
      <c r="B1088" s="401"/>
      <c r="C1088" s="401"/>
      <c r="D1088" s="1294"/>
      <c r="E1088" s="1294"/>
      <c r="F1088" s="1294"/>
      <c r="I1088" s="489"/>
    </row>
    <row r="1089" spans="1:9">
      <c r="A1089" s="401"/>
      <c r="B1089" s="401"/>
      <c r="C1089" s="401"/>
      <c r="D1089" s="1294"/>
      <c r="E1089" s="1294"/>
      <c r="F1089" s="1294"/>
      <c r="I1089" s="489"/>
    </row>
    <row r="1090" spans="1:9">
      <c r="A1090" s="401"/>
      <c r="B1090" s="401"/>
      <c r="C1090" s="401"/>
      <c r="D1090" s="1294"/>
      <c r="E1090" s="1294"/>
      <c r="F1090" s="1294"/>
      <c r="I1090" s="489"/>
    </row>
    <row r="1091" spans="1:9">
      <c r="A1091" s="401"/>
      <c r="B1091" s="401"/>
      <c r="C1091" s="401"/>
      <c r="D1091" s="1294"/>
      <c r="E1091" s="1294"/>
      <c r="F1091" s="1294"/>
      <c r="I1091" s="489"/>
    </row>
    <row r="1092" spans="1:9">
      <c r="A1092" s="401"/>
      <c r="B1092" s="401"/>
      <c r="C1092" s="401"/>
      <c r="D1092" s="526" t="s">
        <v>1827</v>
      </c>
      <c r="I1092" s="489"/>
    </row>
    <row r="1093" spans="1:9">
      <c r="A1093" s="401"/>
      <c r="B1093" s="401"/>
      <c r="C1093" s="401"/>
      <c r="I1093" s="489"/>
    </row>
    <row r="1094" spans="1:9">
      <c r="A1094" s="401"/>
      <c r="B1094" s="484" t="s">
        <v>2671</v>
      </c>
      <c r="C1094" s="401"/>
      <c r="D1094" s="1280" t="s">
        <v>2283</v>
      </c>
      <c r="E1094" s="1280"/>
      <c r="F1094" s="1280"/>
      <c r="I1094" s="489"/>
    </row>
    <row r="1095" spans="1:9">
      <c r="A1095" s="401"/>
      <c r="B1095" s="401"/>
      <c r="C1095" s="401"/>
      <c r="D1095" s="1280"/>
      <c r="E1095" s="1280"/>
      <c r="F1095" s="1280"/>
      <c r="I1095" s="489"/>
    </row>
    <row r="1096" spans="1:9">
      <c r="A1096" s="401"/>
      <c r="B1096" s="401"/>
      <c r="C1096" s="401"/>
      <c r="D1096" s="1280"/>
      <c r="E1096" s="1280"/>
      <c r="F1096" s="1280"/>
      <c r="I1096" s="489"/>
    </row>
    <row r="1097" spans="1:9">
      <c r="A1097" s="401"/>
      <c r="B1097" s="401"/>
      <c r="C1097" s="401"/>
      <c r="I1097" s="489"/>
    </row>
    <row r="1098" spans="1:9">
      <c r="A1098" s="1289" t="s">
        <v>1832</v>
      </c>
      <c r="B1098" s="1289"/>
      <c r="C1098" s="1289"/>
      <c r="D1098" s="1289"/>
      <c r="E1098" s="1289"/>
      <c r="F1098" s="1289"/>
      <c r="G1098" s="1289"/>
      <c r="H1098" s="1027"/>
      <c r="I1098" s="1152"/>
    </row>
    <row r="1099" spans="1:9">
      <c r="A1099" s="401"/>
      <c r="B1099" s="401"/>
      <c r="C1099" s="401"/>
      <c r="I1099" s="489"/>
    </row>
    <row r="1100" spans="1:9">
      <c r="A1100" s="401"/>
      <c r="B1100" s="401"/>
      <c r="C1100" s="401"/>
      <c r="I1100" s="489"/>
    </row>
    <row r="1101" spans="1:9" ht="12.75" customHeight="1">
      <c r="A1101" s="401"/>
      <c r="B1101" s="484" t="s">
        <v>2671</v>
      </c>
      <c r="C1101" s="401"/>
      <c r="D1101" s="1296" t="s">
        <v>1931</v>
      </c>
      <c r="E1101" s="1296"/>
      <c r="F1101" s="1296"/>
      <c r="I1101" s="489"/>
    </row>
    <row r="1102" spans="1:9">
      <c r="A1102" s="401"/>
      <c r="B1102" s="401"/>
      <c r="C1102" s="401"/>
      <c r="D1102" s="1296"/>
      <c r="E1102" s="1296"/>
      <c r="F1102" s="1296"/>
      <c r="I1102" s="489"/>
    </row>
    <row r="1103" spans="1:9">
      <c r="A1103" s="401"/>
      <c r="B1103" s="401"/>
      <c r="C1103" s="401"/>
      <c r="D1103" s="1297" t="s">
        <v>2145</v>
      </c>
      <c r="E1103" s="1266"/>
      <c r="F1103" s="1266"/>
      <c r="I1103" s="489"/>
    </row>
    <row r="1104" spans="1:9">
      <c r="A1104" s="401"/>
      <c r="B1104" s="401"/>
      <c r="C1104" s="401"/>
      <c r="D1104" s="526"/>
      <c r="I1104" s="489"/>
    </row>
    <row r="1105" spans="1:9">
      <c r="A1105" s="401"/>
      <c r="B1105" s="484" t="s">
        <v>2671</v>
      </c>
      <c r="C1105" s="401"/>
      <c r="D1105" s="1294" t="s">
        <v>1833</v>
      </c>
      <c r="E1105" s="1294"/>
      <c r="F1105" s="1294"/>
      <c r="I1105" s="489"/>
    </row>
    <row r="1106" spans="1:9">
      <c r="A1106" s="401"/>
      <c r="B1106" s="401"/>
      <c r="C1106" s="401"/>
      <c r="D1106" s="1294"/>
      <c r="E1106" s="1294"/>
      <c r="F1106" s="1294"/>
      <c r="I1106" s="489"/>
    </row>
    <row r="1107" spans="1:9">
      <c r="A1107" s="401"/>
      <c r="B1107" s="401"/>
      <c r="C1107" s="401"/>
      <c r="D1107" s="526"/>
      <c r="I1107" s="489"/>
    </row>
    <row r="1108" spans="1:9">
      <c r="A1108" s="401"/>
      <c r="B1108" s="484" t="s">
        <v>2671</v>
      </c>
      <c r="C1108" s="401"/>
      <c r="D1108" s="1294" t="s">
        <v>1889</v>
      </c>
      <c r="E1108" s="1294"/>
      <c r="F1108" s="1294"/>
      <c r="I1108" s="489"/>
    </row>
    <row r="1109" spans="1:9">
      <c r="A1109" s="401"/>
      <c r="B1109" s="401"/>
      <c r="C1109" s="401"/>
      <c r="D1109" s="1294"/>
      <c r="E1109" s="1294"/>
      <c r="F1109" s="1294"/>
      <c r="I1109" s="489"/>
    </row>
    <row r="1110" spans="1:9">
      <c r="A1110" s="401"/>
      <c r="B1110" s="401"/>
      <c r="C1110" s="401"/>
      <c r="D1110" s="1294"/>
      <c r="E1110" s="1294"/>
      <c r="F1110" s="1294"/>
      <c r="I1110" s="489"/>
    </row>
    <row r="1111" spans="1:9">
      <c r="A1111" s="401"/>
      <c r="B1111" s="401"/>
      <c r="C1111" s="401"/>
      <c r="D1111" s="1294"/>
      <c r="E1111" s="1294"/>
      <c r="F1111" s="1294"/>
      <c r="I1111" s="489"/>
    </row>
    <row r="1112" spans="1:9">
      <c r="A1112" s="401"/>
      <c r="B1112" s="401"/>
      <c r="C1112" s="401"/>
      <c r="D1112" s="1294"/>
      <c r="E1112" s="1294"/>
      <c r="F1112" s="1294"/>
      <c r="I1112" s="489"/>
    </row>
    <row r="1113" spans="1:9">
      <c r="A1113" s="401"/>
      <c r="B1113" s="401"/>
      <c r="C1113" s="401"/>
      <c r="D1113" s="1294"/>
      <c r="E1113" s="1294"/>
      <c r="F1113" s="1294"/>
      <c r="I1113" s="489"/>
    </row>
    <row r="1114" spans="1:9">
      <c r="A1114" s="401"/>
      <c r="B1114" s="401"/>
      <c r="C1114" s="401"/>
      <c r="D1114" s="526"/>
      <c r="I1114" s="479"/>
    </row>
    <row r="1115" spans="1:9">
      <c r="A1115" s="401"/>
      <c r="B1115" s="484" t="s">
        <v>2671</v>
      </c>
      <c r="C1115" s="401"/>
      <c r="D1115" s="1294" t="s">
        <v>1834</v>
      </c>
      <c r="E1115" s="1294"/>
      <c r="F1115" s="1294"/>
      <c r="I1115" s="489"/>
    </row>
    <row r="1116" spans="1:9">
      <c r="A1116" s="401"/>
      <c r="B1116" s="401"/>
      <c r="C1116" s="401"/>
      <c r="D1116" s="1294"/>
      <c r="E1116" s="1294"/>
      <c r="F1116" s="1294"/>
      <c r="I1116" s="489"/>
    </row>
    <row r="1117" spans="1:9">
      <c r="A1117" s="401"/>
      <c r="B1117" s="401"/>
      <c r="C1117" s="401"/>
      <c r="D1117" s="1294"/>
      <c r="E1117" s="1294"/>
      <c r="F1117" s="1294"/>
      <c r="I1117" s="489"/>
    </row>
    <row r="1118" spans="1:9">
      <c r="A1118" s="401"/>
      <c r="B1118" s="401"/>
      <c r="C1118" s="401"/>
      <c r="D1118" s="526"/>
      <c r="I1118" s="489"/>
    </row>
    <row r="1119" spans="1:9">
      <c r="A1119" s="401"/>
      <c r="B1119" s="484" t="s">
        <v>2744</v>
      </c>
      <c r="C1119" s="401"/>
      <c r="D1119" s="1271" t="s">
        <v>1890</v>
      </c>
      <c r="E1119" s="1271"/>
      <c r="F1119" s="1271"/>
      <c r="I1119" s="489"/>
    </row>
    <row r="1120" spans="1:9">
      <c r="A1120" s="401"/>
      <c r="B1120" s="401"/>
      <c r="C1120" s="401"/>
      <c r="D1120" s="1271"/>
      <c r="E1120" s="1271"/>
      <c r="F1120" s="1271"/>
      <c r="I1120" s="489"/>
    </row>
    <row r="1121" spans="1:9">
      <c r="A1121" s="401"/>
      <c r="B1121" s="401"/>
      <c r="C1121" s="401"/>
      <c r="D1121" s="1271"/>
      <c r="E1121" s="1271"/>
      <c r="F1121" s="1271"/>
      <c r="I1121" s="489"/>
    </row>
    <row r="1122" spans="1:9">
      <c r="A1122" s="401"/>
      <c r="B1122" s="401"/>
      <c r="C1122" s="401"/>
      <c r="D1122" s="979"/>
      <c r="E1122" s="979"/>
      <c r="F1122" s="979"/>
      <c r="I1122" s="489"/>
    </row>
    <row r="1123" spans="1:9" ht="15.75" customHeight="1">
      <c r="A1123" s="401"/>
      <c r="B1123" s="484" t="s">
        <v>2744</v>
      </c>
      <c r="C1123" s="401"/>
      <c r="D1123" s="1266" t="s">
        <v>1891</v>
      </c>
      <c r="E1123" s="1266"/>
      <c r="F1123" s="1266"/>
      <c r="I1123" s="489"/>
    </row>
    <row r="1124" spans="1:9">
      <c r="A1124" s="401"/>
      <c r="B1124" s="401"/>
      <c r="C1124" s="401"/>
      <c r="D1124" s="1266"/>
      <c r="E1124" s="1266"/>
      <c r="F1124" s="1266"/>
      <c r="I1124" s="489"/>
    </row>
    <row r="1125" spans="1:9">
      <c r="A1125" s="401"/>
      <c r="B1125" s="401"/>
      <c r="C1125" s="401"/>
      <c r="D1125" s="1266"/>
      <c r="E1125" s="1266"/>
      <c r="F1125" s="1266"/>
      <c r="I1125" s="489"/>
    </row>
    <row r="1126" spans="1:9">
      <c r="A1126" s="401"/>
      <c r="B1126" s="401"/>
      <c r="C1126" s="401"/>
      <c r="D1126" s="1266"/>
      <c r="E1126" s="1266"/>
      <c r="F1126" s="1266"/>
      <c r="I1126" s="489"/>
    </row>
    <row r="1127" spans="1:9">
      <c r="A1127" s="401"/>
      <c r="B1127" s="401"/>
      <c r="C1127" s="401"/>
      <c r="D1127" s="979"/>
      <c r="E1127" s="979"/>
      <c r="F1127" s="979"/>
      <c r="I1127" s="489"/>
    </row>
    <row r="1128" spans="1:9">
      <c r="A1128" s="401"/>
      <c r="B1128" s="401"/>
      <c r="C1128" s="401"/>
      <c r="I1128" s="1158"/>
    </row>
    <row r="1129" spans="1:9">
      <c r="A1129" s="401"/>
      <c r="B1129" s="401"/>
      <c r="C1129" s="401"/>
      <c r="I1129" s="489"/>
    </row>
    <row r="1130" spans="1:9">
      <c r="A1130" s="401"/>
      <c r="B1130" s="401"/>
      <c r="C1130" s="401"/>
      <c r="I1130" s="489"/>
    </row>
    <row r="1131" spans="1:9">
      <c r="A1131" s="401"/>
      <c r="B1131" s="401"/>
      <c r="C1131" s="401"/>
    </row>
    <row r="1132" spans="1:9">
      <c r="A1132" s="401"/>
      <c r="B1132" s="401"/>
      <c r="C1132" s="401"/>
    </row>
    <row r="1133" spans="1:9">
      <c r="A1133" s="401"/>
      <c r="B1133" s="401"/>
      <c r="C1133" s="401"/>
    </row>
    <row r="1134" spans="1:9">
      <c r="A1134" s="401"/>
      <c r="B1134" s="401"/>
      <c r="C1134" s="401"/>
    </row>
    <row r="1135" spans="1:9">
      <c r="A1135" s="401"/>
      <c r="B1135" s="401"/>
      <c r="C1135" s="401"/>
    </row>
    <row r="1136" spans="1:9">
      <c r="A1136" s="401"/>
      <c r="B1136" s="401"/>
      <c r="C1136" s="401"/>
    </row>
    <row r="1137" spans="1:3">
      <c r="A1137" s="401"/>
      <c r="B1137" s="401"/>
      <c r="C1137" s="401"/>
    </row>
    <row r="1138" spans="1:3">
      <c r="A1138" s="401"/>
      <c r="B1138" s="401"/>
      <c r="C1138" s="401"/>
    </row>
    <row r="1139" spans="1:3">
      <c r="A1139" s="401"/>
      <c r="B1139" s="401"/>
      <c r="C1139" s="401"/>
    </row>
    <row r="1140" spans="1:3">
      <c r="A1140" s="401"/>
      <c r="B1140" s="401"/>
      <c r="C1140" s="401"/>
    </row>
    <row r="1141" spans="1:3">
      <c r="A1141" s="401"/>
      <c r="B1141" s="401"/>
      <c r="C1141" s="401"/>
    </row>
    <row r="1142" spans="1:3">
      <c r="A1142" s="401"/>
      <c r="B1142" s="401"/>
      <c r="C1142" s="401"/>
    </row>
    <row r="1143" spans="1:3">
      <c r="A1143" s="401"/>
      <c r="B1143" s="401"/>
      <c r="C1143" s="401"/>
    </row>
    <row r="1144" spans="1:3">
      <c r="A1144" s="401"/>
      <c r="B1144" s="401"/>
      <c r="C1144" s="401"/>
    </row>
    <row r="1145" spans="1:3">
      <c r="A1145" s="401"/>
      <c r="B1145" s="401"/>
      <c r="C1145" s="401"/>
    </row>
    <row r="1146" spans="1:3"/>
    <row r="1147" spans="1:3"/>
    <row r="1148" spans="1:3"/>
    <row r="1149" spans="1:3"/>
    <row r="1150" spans="1:3"/>
    <row r="1151" spans="1:3"/>
    <row r="1152" spans="1:3"/>
    <row r="1153" spans="1:3">
      <c r="A1153" s="401"/>
      <c r="B1153" s="401"/>
      <c r="C1153" s="401"/>
    </row>
    <row r="1154" spans="1:3">
      <c r="A1154" s="401"/>
      <c r="B1154" s="401"/>
      <c r="C1154" s="401"/>
    </row>
    <row r="1155" spans="1:3">
      <c r="A1155" s="401"/>
      <c r="B1155" s="401"/>
      <c r="C1155" s="401"/>
    </row>
    <row r="1156" spans="1:3">
      <c r="A1156" s="401"/>
      <c r="B1156" s="401"/>
      <c r="C1156" s="401"/>
    </row>
    <row r="1157" spans="1:3">
      <c r="A1157" s="401"/>
      <c r="B1157" s="401"/>
      <c r="C1157" s="401"/>
    </row>
    <row r="1158" spans="1:3">
      <c r="A1158" s="401"/>
      <c r="B1158" s="401"/>
      <c r="C1158" s="401"/>
    </row>
    <row r="1159" spans="1:3">
      <c r="A1159" s="401"/>
      <c r="B1159" s="401"/>
      <c r="C1159" s="401"/>
    </row>
    <row r="1160" spans="1:3">
      <c r="A1160" s="401"/>
      <c r="B1160" s="401"/>
      <c r="C1160" s="401"/>
    </row>
    <row r="1161" spans="1:3">
      <c r="A1161" s="401"/>
      <c r="B1161" s="401"/>
      <c r="C1161" s="401"/>
    </row>
    <row r="1162" spans="1:3">
      <c r="A1162" s="401"/>
      <c r="B1162" s="401"/>
      <c r="C1162" s="401"/>
    </row>
    <row r="1163" spans="1:3">
      <c r="A1163" s="401"/>
      <c r="B1163" s="401"/>
      <c r="C1163" s="401"/>
    </row>
    <row r="1164" spans="1:3">
      <c r="A1164" s="401"/>
      <c r="B1164" s="401"/>
      <c r="C1164" s="401"/>
    </row>
    <row r="1165" spans="1:3">
      <c r="A1165" s="401"/>
      <c r="B1165" s="401"/>
      <c r="C1165" s="401"/>
    </row>
    <row r="1166" spans="1:3">
      <c r="A1166" s="401"/>
      <c r="B1166" s="401"/>
      <c r="C1166" s="401"/>
    </row>
    <row r="1167" spans="1:3">
      <c r="A1167" s="401"/>
      <c r="B1167" s="401"/>
      <c r="C1167" s="401"/>
    </row>
    <row r="1168" spans="1:3">
      <c r="A1168" s="401"/>
      <c r="B1168" s="401"/>
      <c r="C1168" s="401"/>
    </row>
    <row r="1169" spans="1:3">
      <c r="A1169" s="401"/>
      <c r="B1169" s="401"/>
      <c r="C1169" s="401"/>
    </row>
    <row r="1170" spans="1:3">
      <c r="A1170" s="401"/>
      <c r="B1170" s="401"/>
      <c r="C1170" s="401"/>
    </row>
    <row r="1171" spans="1:3">
      <c r="A1171" s="401"/>
      <c r="B1171" s="401"/>
      <c r="C1171" s="401"/>
    </row>
    <row r="1172" spans="1:3">
      <c r="A1172" s="401"/>
      <c r="B1172" s="401"/>
      <c r="C1172" s="401"/>
    </row>
    <row r="1173" spans="1:3">
      <c r="A1173" s="401"/>
      <c r="B1173" s="401"/>
      <c r="C1173" s="401"/>
    </row>
    <row r="1174" spans="1:3">
      <c r="A1174" s="401"/>
      <c r="B1174" s="401"/>
      <c r="C1174" s="401"/>
    </row>
    <row r="1175" spans="1:3">
      <c r="A1175" s="401"/>
      <c r="B1175" s="401"/>
      <c r="C1175" s="401"/>
    </row>
    <row r="1176" spans="1:3">
      <c r="A1176" s="401"/>
      <c r="B1176" s="401"/>
      <c r="C1176" s="401"/>
    </row>
    <row r="1177" spans="1:3">
      <c r="A1177" s="401"/>
      <c r="B1177" s="401"/>
      <c r="C1177" s="401"/>
    </row>
    <row r="1178" spans="1:3">
      <c r="A1178" s="401"/>
      <c r="B1178" s="401"/>
      <c r="C1178" s="401"/>
    </row>
    <row r="1179" spans="1:3">
      <c r="A1179" s="401"/>
      <c r="B1179" s="401"/>
      <c r="C1179" s="401"/>
    </row>
    <row r="1180" spans="1:3">
      <c r="A1180" s="401"/>
      <c r="B1180" s="401"/>
      <c r="C1180" s="401"/>
    </row>
    <row r="1181" spans="1:3">
      <c r="A1181" s="401"/>
      <c r="B1181" s="401"/>
      <c r="C1181" s="401"/>
    </row>
    <row r="1182" spans="1:3">
      <c r="A1182" s="401"/>
      <c r="B1182" s="401"/>
      <c r="C1182" s="401"/>
    </row>
    <row r="1183" spans="1:3">
      <c r="A1183" s="401"/>
      <c r="B1183" s="401"/>
      <c r="C1183" s="401"/>
    </row>
    <row r="1184" spans="1:3">
      <c r="A1184" s="401"/>
      <c r="B1184" s="401"/>
      <c r="C1184" s="401"/>
    </row>
    <row r="1185" spans="1:3">
      <c r="A1185" s="401"/>
      <c r="B1185" s="401"/>
      <c r="C1185" s="401"/>
    </row>
    <row r="1186" spans="1:3">
      <c r="A1186" s="401"/>
      <c r="B1186" s="401"/>
      <c r="C1186" s="401"/>
    </row>
    <row r="1187" spans="1:3">
      <c r="A1187" s="401"/>
      <c r="B1187" s="401"/>
      <c r="C1187" s="401"/>
    </row>
    <row r="1188" spans="1:3">
      <c r="A1188" s="401"/>
      <c r="B1188" s="401"/>
      <c r="C1188" s="401"/>
    </row>
    <row r="1189" spans="1:3">
      <c r="A1189" s="401"/>
      <c r="B1189" s="401"/>
      <c r="C1189" s="401"/>
    </row>
    <row r="1190" spans="1:3">
      <c r="A1190" s="401"/>
      <c r="B1190" s="401"/>
      <c r="C1190" s="401"/>
    </row>
    <row r="1191" spans="1:3">
      <c r="A1191" s="401"/>
      <c r="B1191" s="401"/>
      <c r="C1191" s="401"/>
    </row>
    <row r="1192" spans="1:3">
      <c r="A1192" s="401"/>
      <c r="B1192" s="401"/>
      <c r="C1192" s="401"/>
    </row>
    <row r="1193" spans="1:3">
      <c r="A1193" s="401"/>
      <c r="B1193" s="401"/>
      <c r="C1193" s="401"/>
    </row>
    <row r="1194" spans="1:3">
      <c r="A1194" s="401"/>
      <c r="B1194" s="401"/>
      <c r="C1194" s="401"/>
    </row>
    <row r="1195" spans="1:3">
      <c r="A1195" s="401"/>
      <c r="B1195" s="401"/>
      <c r="C1195" s="401"/>
    </row>
    <row r="1196" spans="1:3">
      <c r="A1196" s="401"/>
      <c r="B1196" s="401"/>
      <c r="C1196" s="401"/>
    </row>
    <row r="1197" spans="1:3">
      <c r="A1197" s="401"/>
      <c r="B1197" s="401"/>
      <c r="C1197" s="401"/>
    </row>
    <row r="1198" spans="1:3">
      <c r="A1198" s="401"/>
      <c r="B1198" s="401"/>
      <c r="C1198" s="401"/>
    </row>
    <row r="1199" spans="1:3">
      <c r="A1199" s="401"/>
      <c r="B1199" s="401"/>
      <c r="C1199" s="401"/>
    </row>
    <row r="1200" spans="1:3">
      <c r="A1200" s="401"/>
      <c r="B1200" s="401"/>
      <c r="C1200" s="401"/>
    </row>
    <row r="1201" spans="1:3">
      <c r="A1201" s="401"/>
      <c r="B1201" s="401"/>
      <c r="C1201" s="401"/>
    </row>
    <row r="1202" spans="1:3">
      <c r="A1202" s="401"/>
      <c r="B1202" s="401"/>
      <c r="C1202" s="401"/>
    </row>
    <row r="1203" spans="1:3">
      <c r="A1203" s="401"/>
      <c r="B1203" s="401"/>
      <c r="C1203" s="401"/>
    </row>
    <row r="1204" spans="1:3">
      <c r="A1204" s="401"/>
      <c r="B1204" s="401"/>
      <c r="C1204" s="401"/>
    </row>
    <row r="1205" spans="1:3">
      <c r="A1205" s="401"/>
      <c r="B1205" s="401"/>
      <c r="C1205" s="401"/>
    </row>
    <row r="1206" spans="1:3">
      <c r="A1206" s="401"/>
      <c r="B1206" s="401"/>
      <c r="C1206" s="401"/>
    </row>
    <row r="1207" spans="1:3">
      <c r="A1207" s="401"/>
      <c r="B1207" s="401"/>
      <c r="C1207" s="401"/>
    </row>
    <row r="1208" spans="1:3">
      <c r="A1208" s="401"/>
      <c r="B1208" s="401"/>
      <c r="C1208" s="401"/>
    </row>
    <row r="1209" spans="1:3">
      <c r="A1209" s="401"/>
      <c r="B1209" s="401"/>
      <c r="C1209" s="401"/>
    </row>
    <row r="1210" spans="1:3">
      <c r="A1210" s="401"/>
      <c r="B1210" s="401"/>
      <c r="C1210" s="401"/>
    </row>
    <row r="1211" spans="1:3">
      <c r="A1211" s="401"/>
      <c r="B1211" s="401"/>
      <c r="C1211" s="401"/>
    </row>
    <row r="1212" spans="1:3">
      <c r="A1212" s="401"/>
      <c r="B1212" s="401"/>
      <c r="C1212" s="401"/>
    </row>
    <row r="1213" spans="1:3">
      <c r="A1213" s="401"/>
      <c r="B1213" s="401"/>
      <c r="C1213" s="401"/>
    </row>
    <row r="1214" spans="1:3">
      <c r="A1214" s="401"/>
      <c r="B1214" s="401"/>
      <c r="C1214" s="401"/>
    </row>
    <row r="1215" spans="1:3">
      <c r="A1215" s="401"/>
      <c r="B1215" s="401"/>
      <c r="C1215" s="401"/>
    </row>
    <row r="1216" spans="1:3">
      <c r="A1216" s="401"/>
      <c r="B1216" s="401"/>
      <c r="C1216" s="401"/>
    </row>
    <row r="1217" spans="1:3">
      <c r="A1217" s="401"/>
      <c r="B1217" s="401"/>
      <c r="C1217" s="401"/>
    </row>
    <row r="1218" spans="1:3">
      <c r="A1218" s="401"/>
      <c r="B1218" s="401"/>
      <c r="C1218" s="401"/>
    </row>
    <row r="1219" spans="1:3">
      <c r="A1219" s="401"/>
      <c r="B1219" s="401"/>
      <c r="C1219" s="401"/>
    </row>
    <row r="1220" spans="1:3">
      <c r="A1220" s="401"/>
      <c r="B1220" s="401"/>
      <c r="C1220" s="401"/>
    </row>
    <row r="1221" spans="1:3">
      <c r="A1221" s="401"/>
      <c r="B1221" s="401"/>
      <c r="C1221" s="401"/>
    </row>
    <row r="1222" spans="1:3">
      <c r="A1222" s="401"/>
      <c r="B1222" s="401"/>
      <c r="C1222" s="401"/>
    </row>
    <row r="1223" spans="1:3">
      <c r="A1223" s="401"/>
      <c r="B1223" s="401"/>
      <c r="C1223" s="401"/>
    </row>
    <row r="1224" spans="1:3">
      <c r="A1224" s="401"/>
      <c r="B1224" s="401"/>
      <c r="C1224" s="401"/>
    </row>
    <row r="1225" spans="1:3">
      <c r="A1225" s="401"/>
      <c r="B1225" s="401"/>
      <c r="C1225" s="401"/>
    </row>
    <row r="1226" spans="1:3">
      <c r="A1226" s="401"/>
      <c r="B1226" s="401"/>
      <c r="C1226" s="401"/>
    </row>
    <row r="1227" spans="1:3">
      <c r="A1227" s="401"/>
      <c r="B1227" s="401"/>
      <c r="C1227" s="401"/>
    </row>
    <row r="1228" spans="1:3">
      <c r="A1228" s="401"/>
      <c r="B1228" s="401"/>
      <c r="C1228" s="401"/>
    </row>
    <row r="1229" spans="1:3">
      <c r="A1229" s="401"/>
      <c r="B1229" s="401"/>
      <c r="C1229" s="401"/>
    </row>
    <row r="1230" spans="1:3">
      <c r="A1230" s="401"/>
      <c r="B1230" s="401"/>
      <c r="C1230" s="401"/>
    </row>
    <row r="1231" spans="1:3">
      <c r="A1231" s="401"/>
      <c r="B1231" s="401"/>
      <c r="C1231" s="401"/>
    </row>
    <row r="1232" spans="1:3">
      <c r="A1232" s="401"/>
      <c r="B1232" s="401"/>
      <c r="C1232" s="401"/>
    </row>
    <row r="1233" spans="1:3">
      <c r="A1233" s="401"/>
      <c r="B1233" s="401"/>
      <c r="C1233" s="401"/>
    </row>
    <row r="1234" spans="1:3">
      <c r="A1234" s="401"/>
      <c r="B1234" s="401"/>
      <c r="C1234" s="401"/>
    </row>
    <row r="1235" spans="1:3">
      <c r="A1235" s="401"/>
      <c r="B1235" s="401"/>
      <c r="C1235" s="401"/>
    </row>
    <row r="1236" spans="1:3">
      <c r="A1236" s="401"/>
      <c r="B1236" s="401"/>
      <c r="C1236" s="401"/>
    </row>
    <row r="1237" spans="1:3">
      <c r="A1237" s="401"/>
      <c r="B1237" s="401"/>
      <c r="C1237" s="401"/>
    </row>
    <row r="1238" spans="1:3">
      <c r="A1238" s="401"/>
      <c r="B1238" s="401"/>
      <c r="C1238" s="401"/>
    </row>
    <row r="1239" spans="1:3">
      <c r="A1239" s="401"/>
      <c r="B1239" s="401"/>
      <c r="C1239" s="401"/>
    </row>
    <row r="1240" spans="1:3">
      <c r="A1240" s="401"/>
      <c r="B1240" s="401"/>
      <c r="C1240" s="401"/>
    </row>
    <row r="1241" spans="1:3">
      <c r="A1241" s="401"/>
      <c r="B1241" s="401"/>
      <c r="C1241" s="401"/>
    </row>
    <row r="1242" spans="1:3">
      <c r="A1242" s="401"/>
      <c r="B1242" s="401"/>
      <c r="C1242" s="401"/>
    </row>
    <row r="1243" spans="1:3">
      <c r="A1243" s="401"/>
      <c r="B1243" s="401"/>
      <c r="C1243" s="401"/>
    </row>
    <row r="1244" spans="1:3">
      <c r="A1244" s="401"/>
      <c r="B1244" s="401"/>
      <c r="C1244" s="401"/>
    </row>
    <row r="1245" spans="1:3">
      <c r="A1245" s="401"/>
      <c r="B1245" s="401"/>
      <c r="C1245" s="401"/>
    </row>
    <row r="1246" spans="1:3">
      <c r="A1246" s="401"/>
      <c r="B1246" s="401"/>
      <c r="C1246" s="401"/>
    </row>
    <row r="1247" spans="1:3">
      <c r="A1247" s="401"/>
      <c r="B1247" s="401"/>
      <c r="C1247" s="401"/>
    </row>
    <row r="1248" spans="1:3">
      <c r="A1248" s="401"/>
      <c r="B1248" s="401"/>
      <c r="C1248" s="401"/>
    </row>
    <row r="1249" spans="1:3">
      <c r="A1249" s="401"/>
      <c r="B1249" s="401"/>
      <c r="C1249" s="401"/>
    </row>
    <row r="1250" spans="1:3">
      <c r="A1250" s="401"/>
      <c r="B1250" s="401"/>
      <c r="C1250" s="401"/>
    </row>
    <row r="1251" spans="1:3">
      <c r="A1251" s="401"/>
      <c r="B1251" s="401"/>
      <c r="C1251" s="401"/>
    </row>
    <row r="1252" spans="1:3">
      <c r="A1252" s="401"/>
      <c r="B1252" s="401"/>
      <c r="C1252" s="401"/>
    </row>
    <row r="1253" spans="1:3">
      <c r="A1253" s="401"/>
      <c r="B1253" s="401"/>
      <c r="C1253" s="401"/>
    </row>
    <row r="1254" spans="1:3">
      <c r="A1254" s="401"/>
      <c r="B1254" s="401"/>
      <c r="C1254" s="401"/>
    </row>
    <row r="1255" spans="1:3">
      <c r="A1255" s="401"/>
      <c r="B1255" s="401"/>
      <c r="C1255" s="401"/>
    </row>
    <row r="1256" spans="1:3">
      <c r="A1256" s="401"/>
      <c r="B1256" s="401"/>
      <c r="C1256" s="401"/>
    </row>
    <row r="1257" spans="1:3">
      <c r="A1257" s="401"/>
      <c r="B1257" s="401"/>
      <c r="C1257" s="401"/>
    </row>
    <row r="1258" spans="1:3">
      <c r="A1258" s="401"/>
      <c r="B1258" s="401"/>
      <c r="C1258" s="401"/>
    </row>
    <row r="1259" spans="1:3">
      <c r="A1259" s="401"/>
      <c r="B1259" s="401"/>
      <c r="C1259" s="401"/>
    </row>
    <row r="1260" spans="1:3">
      <c r="A1260" s="401"/>
      <c r="B1260" s="401"/>
      <c r="C1260" s="401"/>
    </row>
    <row r="1261" spans="1:3">
      <c r="A1261" s="401"/>
      <c r="B1261" s="401"/>
      <c r="C1261" s="401"/>
    </row>
    <row r="1262" spans="1:3">
      <c r="A1262" s="401"/>
      <c r="B1262" s="401"/>
      <c r="C1262" s="401"/>
    </row>
    <row r="1263" spans="1:3">
      <c r="A1263" s="401"/>
      <c r="B1263" s="401"/>
      <c r="C1263" s="401"/>
    </row>
    <row r="1264" spans="1:3">
      <c r="A1264" s="401"/>
      <c r="B1264" s="401"/>
      <c r="C1264" s="401"/>
    </row>
    <row r="1265" spans="1:3">
      <c r="A1265" s="401"/>
      <c r="B1265" s="401"/>
      <c r="C1265" s="401"/>
    </row>
    <row r="1266" spans="1:3">
      <c r="A1266" s="401"/>
      <c r="B1266" s="401"/>
      <c r="C1266" s="401"/>
    </row>
    <row r="1267" spans="1:3">
      <c r="A1267" s="401"/>
      <c r="B1267" s="401"/>
      <c r="C1267" s="401"/>
    </row>
    <row r="1268" spans="1:3">
      <c r="A1268" s="401"/>
      <c r="B1268" s="401"/>
      <c r="C1268" s="401"/>
    </row>
    <row r="1269" spans="1:3">
      <c r="A1269" s="401"/>
      <c r="B1269" s="401"/>
      <c r="C1269" s="401"/>
    </row>
    <row r="1270" spans="1:3">
      <c r="A1270" s="401"/>
      <c r="B1270" s="401"/>
      <c r="C1270" s="401"/>
    </row>
    <row r="1271" spans="1:3">
      <c r="A1271" s="401"/>
      <c r="B1271" s="401"/>
      <c r="C1271" s="401"/>
    </row>
    <row r="1272" spans="1:3">
      <c r="A1272" s="401"/>
      <c r="B1272" s="401"/>
      <c r="C1272" s="401"/>
    </row>
    <row r="1273" spans="1:3">
      <c r="A1273" s="401"/>
      <c r="B1273" s="401"/>
      <c r="C1273" s="401"/>
    </row>
    <row r="1274" spans="1:3">
      <c r="A1274" s="401"/>
      <c r="B1274" s="401"/>
      <c r="C1274" s="401"/>
    </row>
    <row r="1275" spans="1:3">
      <c r="A1275" s="401"/>
      <c r="B1275" s="401"/>
      <c r="C1275" s="401"/>
    </row>
    <row r="1276" spans="1:3">
      <c r="A1276" s="401"/>
      <c r="B1276" s="401"/>
      <c r="C1276" s="401"/>
    </row>
    <row r="1277" spans="1:3">
      <c r="A1277" s="401"/>
      <c r="B1277" s="401"/>
      <c r="C1277" s="401"/>
    </row>
    <row r="1278" spans="1:3">
      <c r="A1278" s="401"/>
      <c r="B1278" s="401"/>
      <c r="C1278" s="401"/>
    </row>
    <row r="1279" spans="1:3">
      <c r="A1279" s="401"/>
      <c r="B1279" s="401"/>
      <c r="C1279" s="401"/>
    </row>
    <row r="1280" spans="1:3">
      <c r="A1280" s="401"/>
      <c r="B1280" s="401"/>
      <c r="C1280" s="401"/>
    </row>
    <row r="1281" spans="1:3">
      <c r="A1281" s="401"/>
      <c r="B1281" s="401"/>
      <c r="C1281" s="401"/>
    </row>
    <row r="1282" spans="1:3">
      <c r="A1282" s="401"/>
      <c r="B1282" s="401"/>
      <c r="C1282" s="401"/>
    </row>
    <row r="1283" spans="1:3">
      <c r="A1283" s="401"/>
      <c r="B1283" s="401"/>
      <c r="C1283" s="401"/>
    </row>
    <row r="1284" spans="1:3">
      <c r="A1284" s="401"/>
      <c r="B1284" s="401"/>
      <c r="C1284" s="401"/>
    </row>
    <row r="1285" spans="1:3">
      <c r="A1285" s="401"/>
      <c r="B1285" s="401"/>
      <c r="C1285" s="401"/>
    </row>
    <row r="1286" spans="1:3">
      <c r="A1286" s="401"/>
      <c r="B1286" s="401"/>
      <c r="C1286" s="401"/>
    </row>
    <row r="1287" spans="1:3">
      <c r="A1287" s="401"/>
      <c r="B1287" s="401"/>
      <c r="C1287" s="401"/>
    </row>
    <row r="1288" spans="1:3">
      <c r="A1288" s="401"/>
      <c r="B1288" s="401"/>
      <c r="C1288" s="401"/>
    </row>
    <row r="1289" spans="1:3">
      <c r="A1289" s="401"/>
      <c r="B1289" s="401"/>
      <c r="C1289" s="401"/>
    </row>
    <row r="1290" spans="1:3">
      <c r="A1290" s="401"/>
      <c r="B1290" s="401"/>
      <c r="C1290" s="401"/>
    </row>
    <row r="1291" spans="1:3">
      <c r="A1291" s="401"/>
      <c r="B1291" s="401"/>
      <c r="C1291" s="401"/>
    </row>
    <row r="1292" spans="1:3">
      <c r="A1292" s="401"/>
      <c r="B1292" s="401"/>
      <c r="C1292" s="401"/>
    </row>
    <row r="1293" spans="1:3">
      <c r="A1293" s="401"/>
      <c r="B1293" s="401"/>
      <c r="C1293" s="401"/>
    </row>
    <row r="1294" spans="1:3">
      <c r="A1294" s="401"/>
      <c r="B1294" s="401"/>
      <c r="C1294" s="401"/>
    </row>
    <row r="1295" spans="1:3">
      <c r="A1295" s="401"/>
      <c r="B1295" s="401"/>
      <c r="C1295" s="401"/>
    </row>
    <row r="1296" spans="1:3">
      <c r="A1296" s="401"/>
      <c r="B1296" s="401"/>
      <c r="C1296" s="401"/>
    </row>
    <row r="1297" spans="1:3">
      <c r="A1297" s="401"/>
      <c r="B1297" s="401"/>
      <c r="C1297" s="401"/>
    </row>
    <row r="1298" spans="1:3">
      <c r="A1298" s="401"/>
      <c r="B1298" s="401"/>
      <c r="C1298" s="401"/>
    </row>
    <row r="1299" spans="1:3">
      <c r="A1299" s="401"/>
      <c r="B1299" s="401"/>
      <c r="C1299" s="401"/>
    </row>
    <row r="1300" spans="1:3">
      <c r="A1300" s="401"/>
      <c r="B1300" s="401"/>
      <c r="C1300" s="401"/>
    </row>
    <row r="1301" spans="1:3">
      <c r="A1301" s="401"/>
      <c r="B1301" s="401"/>
      <c r="C1301" s="401"/>
    </row>
    <row r="1302" spans="1:3">
      <c r="A1302" s="401"/>
      <c r="B1302" s="401"/>
      <c r="C1302" s="401"/>
    </row>
    <row r="1303" spans="1:3">
      <c r="A1303" s="401"/>
      <c r="B1303" s="401"/>
      <c r="C1303" s="401"/>
    </row>
    <row r="1304" spans="1:3">
      <c r="A1304" s="401"/>
      <c r="B1304" s="401"/>
      <c r="C1304" s="401"/>
    </row>
    <row r="1305" spans="1:3">
      <c r="A1305" s="401"/>
      <c r="B1305" s="401"/>
      <c r="C1305" s="401"/>
    </row>
    <row r="1306" spans="1:3">
      <c r="A1306" s="401"/>
      <c r="B1306" s="401"/>
      <c r="C1306" s="401"/>
    </row>
    <row r="1307" spans="1:3">
      <c r="A1307" s="401"/>
      <c r="B1307" s="401"/>
      <c r="C1307" s="401"/>
    </row>
    <row r="1308" spans="1:3">
      <c r="A1308" s="401"/>
      <c r="B1308" s="401"/>
      <c r="C1308" s="401"/>
    </row>
    <row r="1309" spans="1:3">
      <c r="A1309" s="401"/>
      <c r="B1309" s="401"/>
      <c r="C1309" s="401"/>
    </row>
    <row r="1310" spans="1:3">
      <c r="A1310" s="401"/>
      <c r="B1310" s="401"/>
      <c r="C1310" s="401"/>
    </row>
    <row r="1311" spans="1:3">
      <c r="A1311" s="401"/>
      <c r="B1311" s="401"/>
      <c r="C1311" s="401"/>
    </row>
    <row r="1312" spans="1:3">
      <c r="A1312" s="401"/>
      <c r="B1312" s="401"/>
      <c r="C1312" s="401"/>
    </row>
    <row r="1313" spans="1:3">
      <c r="A1313" s="401"/>
      <c r="B1313" s="401"/>
      <c r="C1313" s="401"/>
    </row>
    <row r="1314" spans="1:3">
      <c r="A1314" s="401"/>
      <c r="B1314" s="401"/>
      <c r="C1314" s="401"/>
    </row>
    <row r="1315" spans="1:3">
      <c r="A1315" s="401"/>
      <c r="B1315" s="401"/>
      <c r="C1315" s="401"/>
    </row>
    <row r="1316" spans="1:3">
      <c r="A1316" s="401"/>
      <c r="B1316" s="401"/>
      <c r="C1316" s="401"/>
    </row>
    <row r="1317" spans="1:3">
      <c r="A1317" s="401"/>
      <c r="B1317" s="401"/>
      <c r="C1317" s="401"/>
    </row>
    <row r="1318" spans="1:3">
      <c r="A1318" s="401"/>
      <c r="B1318" s="401"/>
      <c r="C1318" s="401"/>
    </row>
    <row r="1319" spans="1:3">
      <c r="A1319" s="401"/>
      <c r="B1319" s="401"/>
      <c r="C1319" s="401"/>
    </row>
    <row r="1320" spans="1:3">
      <c r="A1320" s="401"/>
      <c r="B1320" s="401"/>
      <c r="C1320" s="401"/>
    </row>
    <row r="1321" spans="1:3">
      <c r="A1321" s="401"/>
      <c r="B1321" s="401"/>
      <c r="C1321" s="401"/>
    </row>
    <row r="1322" spans="1:3">
      <c r="A1322" s="401"/>
      <c r="B1322" s="401"/>
      <c r="C1322" s="401"/>
    </row>
    <row r="1323" spans="1:3">
      <c r="A1323" s="401"/>
      <c r="B1323" s="401"/>
      <c r="C1323" s="401"/>
    </row>
    <row r="1324" spans="1:3">
      <c r="A1324" s="401"/>
      <c r="B1324" s="401"/>
      <c r="C1324" s="401"/>
    </row>
    <row r="1325" spans="1:3">
      <c r="A1325" s="401"/>
      <c r="B1325" s="401"/>
      <c r="C1325" s="401"/>
    </row>
    <row r="1326" spans="1:3">
      <c r="A1326" s="401"/>
      <c r="B1326" s="401"/>
      <c r="C1326" s="401"/>
    </row>
    <row r="1327" spans="1:3">
      <c r="A1327" s="401"/>
      <c r="B1327" s="401"/>
      <c r="C1327" s="401"/>
    </row>
    <row r="1328" spans="1:3">
      <c r="A1328" s="401"/>
      <c r="B1328" s="401"/>
      <c r="C1328" s="401"/>
    </row>
    <row r="1329" spans="1:3">
      <c r="A1329" s="401"/>
      <c r="B1329" s="401"/>
      <c r="C1329" s="401"/>
    </row>
    <row r="1330" spans="1:3">
      <c r="A1330" s="401"/>
      <c r="B1330" s="401"/>
      <c r="C1330" s="401"/>
    </row>
    <row r="1331" spans="1:3">
      <c r="A1331" s="401"/>
      <c r="B1331" s="401"/>
      <c r="C1331" s="401"/>
    </row>
    <row r="1332" spans="1:3">
      <c r="A1332" s="401"/>
      <c r="B1332" s="401"/>
      <c r="C1332" s="401"/>
    </row>
    <row r="1333" spans="1:3">
      <c r="A1333" s="401"/>
      <c r="B1333" s="401"/>
      <c r="C1333" s="401"/>
    </row>
    <row r="1334" spans="1:3">
      <c r="A1334" s="401"/>
      <c r="B1334" s="401"/>
      <c r="C1334" s="401"/>
    </row>
    <row r="1335" spans="1:3">
      <c r="A1335" s="401"/>
      <c r="B1335" s="401"/>
      <c r="C1335" s="401"/>
    </row>
    <row r="1336" spans="1:3">
      <c r="A1336" s="401"/>
      <c r="B1336" s="401"/>
      <c r="C1336" s="401"/>
    </row>
    <row r="1337" spans="1:3">
      <c r="A1337" s="401"/>
      <c r="B1337" s="401"/>
      <c r="C1337" s="401"/>
    </row>
    <row r="1338" spans="1:3">
      <c r="A1338" s="401"/>
      <c r="B1338" s="401"/>
      <c r="C1338" s="401"/>
    </row>
    <row r="1339" spans="1:3">
      <c r="A1339" s="401"/>
      <c r="B1339" s="401"/>
      <c r="C1339" s="401"/>
    </row>
    <row r="1340" spans="1:3">
      <c r="A1340" s="401"/>
      <c r="B1340" s="401"/>
      <c r="C1340" s="401"/>
    </row>
    <row r="1341" spans="1:3">
      <c r="A1341" s="401"/>
      <c r="B1341" s="401"/>
      <c r="C1341" s="401"/>
    </row>
    <row r="1342" spans="1:3">
      <c r="A1342" s="401"/>
      <c r="B1342" s="401"/>
      <c r="C1342" s="401"/>
    </row>
    <row r="1343" spans="1:3">
      <c r="A1343" s="401"/>
      <c r="B1343" s="401"/>
      <c r="C1343" s="401"/>
    </row>
    <row r="1344" spans="1:3">
      <c r="A1344" s="401"/>
      <c r="B1344" s="401"/>
      <c r="C1344" s="401"/>
    </row>
    <row r="1345" spans="1:3">
      <c r="A1345" s="401"/>
      <c r="B1345" s="401"/>
      <c r="C1345" s="401"/>
    </row>
    <row r="1346" spans="1:3">
      <c r="A1346" s="401"/>
      <c r="B1346" s="401"/>
      <c r="C1346" s="401"/>
    </row>
    <row r="1347" spans="1:3">
      <c r="A1347" s="401"/>
      <c r="B1347" s="401"/>
      <c r="C1347" s="401"/>
    </row>
    <row r="1348" spans="1:3">
      <c r="A1348" s="401"/>
      <c r="B1348" s="401"/>
      <c r="C1348" s="401"/>
    </row>
    <row r="1349" spans="1:3">
      <c r="A1349" s="401"/>
      <c r="B1349" s="401"/>
      <c r="C1349" s="401"/>
    </row>
    <row r="1350" spans="1:3">
      <c r="A1350" s="401"/>
      <c r="B1350" s="401"/>
      <c r="C1350" s="401"/>
    </row>
    <row r="1351" spans="1:3">
      <c r="A1351" s="401"/>
      <c r="B1351" s="401"/>
      <c r="C1351" s="401"/>
    </row>
    <row r="1352" spans="1:3">
      <c r="A1352" s="401"/>
      <c r="B1352" s="401"/>
      <c r="C1352" s="401"/>
    </row>
    <row r="1353" spans="1:3">
      <c r="A1353" s="401"/>
      <c r="B1353" s="401"/>
      <c r="C1353" s="401"/>
    </row>
    <row r="1354" spans="1:3">
      <c r="A1354" s="401"/>
      <c r="B1354" s="401"/>
      <c r="C1354" s="401"/>
    </row>
    <row r="1355" spans="1:3">
      <c r="A1355" s="401"/>
      <c r="B1355" s="401"/>
      <c r="C1355" s="401"/>
    </row>
    <row r="1356" spans="1:3">
      <c r="A1356" s="401"/>
      <c r="B1356" s="401"/>
      <c r="C1356" s="401"/>
    </row>
    <row r="1357" spans="1:3">
      <c r="A1357" s="401"/>
      <c r="B1357" s="401"/>
      <c r="C1357" s="401"/>
    </row>
    <row r="1358" spans="1:3">
      <c r="A1358" s="401"/>
      <c r="B1358" s="401"/>
      <c r="C1358" s="401"/>
    </row>
    <row r="1359" spans="1:3">
      <c r="A1359" s="401"/>
      <c r="B1359" s="401"/>
      <c r="C1359" s="401"/>
    </row>
    <row r="1360" spans="1:3">
      <c r="A1360" s="401"/>
      <c r="B1360" s="401"/>
      <c r="C1360" s="401"/>
    </row>
    <row r="1361" spans="1:3">
      <c r="A1361" s="401"/>
      <c r="B1361" s="401"/>
      <c r="C1361" s="401"/>
    </row>
    <row r="1362" spans="1:3">
      <c r="A1362" s="401"/>
      <c r="B1362" s="401"/>
      <c r="C1362" s="401"/>
    </row>
    <row r="1363" spans="1:3">
      <c r="A1363" s="401"/>
      <c r="B1363" s="401"/>
      <c r="C1363" s="401"/>
    </row>
    <row r="1364" spans="1:3">
      <c r="A1364" s="401"/>
      <c r="B1364" s="401"/>
      <c r="C1364" s="401"/>
    </row>
    <row r="1365" spans="1:3">
      <c r="A1365" s="401"/>
      <c r="B1365" s="401"/>
      <c r="C1365" s="401"/>
    </row>
    <row r="1366" spans="1:3">
      <c r="A1366" s="401"/>
      <c r="B1366" s="401"/>
      <c r="C1366" s="401"/>
    </row>
    <row r="1367" spans="1:3">
      <c r="A1367" s="401"/>
      <c r="B1367" s="401"/>
      <c r="C1367" s="401"/>
    </row>
    <row r="1368" spans="1:3">
      <c r="A1368" s="401"/>
      <c r="B1368" s="401"/>
      <c r="C1368" s="401"/>
    </row>
    <row r="1369" spans="1:3">
      <c r="A1369" s="401"/>
      <c r="B1369" s="401"/>
      <c r="C1369" s="401"/>
    </row>
    <row r="1370" spans="1:3">
      <c r="A1370" s="401"/>
      <c r="B1370" s="401"/>
      <c r="C1370" s="401"/>
    </row>
    <row r="1371" spans="1:3">
      <c r="A1371" s="401"/>
      <c r="B1371" s="401"/>
      <c r="C1371" s="401"/>
    </row>
    <row r="1372" spans="1:3">
      <c r="A1372" s="401"/>
      <c r="B1372" s="401"/>
      <c r="C1372" s="401"/>
    </row>
    <row r="1373" spans="1:3">
      <c r="A1373" s="401"/>
      <c r="B1373" s="401"/>
      <c r="C1373" s="401"/>
    </row>
    <row r="1374" spans="1:3">
      <c r="A1374" s="401"/>
      <c r="B1374" s="401"/>
      <c r="C1374" s="401"/>
    </row>
    <row r="1375" spans="1:3">
      <c r="A1375" s="401"/>
      <c r="B1375" s="401"/>
      <c r="C1375" s="401"/>
    </row>
    <row r="1376" spans="1:3">
      <c r="A1376" s="401"/>
      <c r="B1376" s="401"/>
      <c r="C1376" s="401"/>
    </row>
    <row r="1377" spans="1:3">
      <c r="A1377" s="401"/>
      <c r="B1377" s="401"/>
      <c r="C1377" s="401"/>
    </row>
    <row r="1378" spans="1:3">
      <c r="A1378" s="401"/>
      <c r="B1378" s="401"/>
      <c r="C1378" s="401"/>
    </row>
    <row r="1379" spans="1:3">
      <c r="A1379" s="401"/>
      <c r="B1379" s="401"/>
      <c r="C1379" s="401"/>
    </row>
    <row r="1380" spans="1:3">
      <c r="A1380" s="401"/>
      <c r="B1380" s="401"/>
      <c r="C1380" s="401"/>
    </row>
    <row r="1381" spans="1:3">
      <c r="A1381" s="401"/>
      <c r="B1381" s="401"/>
      <c r="C1381" s="401"/>
    </row>
    <row r="1382" spans="1:3">
      <c r="A1382" s="401"/>
      <c r="B1382" s="401"/>
      <c r="C1382" s="401"/>
    </row>
    <row r="1383" spans="1:3">
      <c r="A1383" s="401"/>
      <c r="B1383" s="401"/>
      <c r="C1383" s="401"/>
    </row>
    <row r="1384" spans="1:3">
      <c r="A1384" s="401"/>
      <c r="B1384" s="401"/>
      <c r="C1384" s="401"/>
    </row>
    <row r="1385" spans="1:3">
      <c r="A1385" s="401"/>
      <c r="B1385" s="401"/>
      <c r="C1385" s="401"/>
    </row>
    <row r="1386" spans="1:3">
      <c r="A1386" s="401"/>
      <c r="B1386" s="401"/>
      <c r="C1386" s="401"/>
    </row>
    <row r="1387" spans="1:3">
      <c r="A1387" s="401"/>
      <c r="B1387" s="401"/>
      <c r="C1387" s="401"/>
    </row>
    <row r="1388" spans="1:3">
      <c r="A1388" s="401"/>
      <c r="B1388" s="401"/>
      <c r="C1388" s="401"/>
    </row>
    <row r="1389" spans="1:3">
      <c r="A1389" s="401"/>
      <c r="B1389" s="401"/>
      <c r="C1389" s="401"/>
    </row>
    <row r="1390" spans="1:3">
      <c r="A1390" s="401"/>
      <c r="B1390" s="401"/>
      <c r="C1390" s="401"/>
    </row>
    <row r="1391" spans="1:3">
      <c r="A1391" s="401"/>
      <c r="B1391" s="401"/>
      <c r="C1391" s="401"/>
    </row>
    <row r="1392" spans="1:3">
      <c r="A1392" s="401"/>
      <c r="B1392" s="401"/>
      <c r="C1392" s="401"/>
    </row>
    <row r="1393" spans="1:3"/>
    <row r="1394" spans="1:3"/>
    <row r="1395" spans="1:3">
      <c r="A1395" s="401"/>
      <c r="B1395" s="401"/>
      <c r="C1395" s="401"/>
    </row>
    <row r="1396" spans="1:3">
      <c r="A1396" s="401"/>
      <c r="B1396" s="401"/>
      <c r="C1396" s="401"/>
    </row>
    <row r="1397" spans="1:3">
      <c r="A1397" s="401"/>
      <c r="B1397" s="401"/>
      <c r="C1397" s="401"/>
    </row>
    <row r="1398" spans="1:3">
      <c r="A1398" s="401"/>
      <c r="B1398" s="401"/>
      <c r="C1398" s="401"/>
    </row>
    <row r="1399" spans="1:3">
      <c r="A1399" s="401"/>
      <c r="B1399" s="401"/>
      <c r="C1399" s="401"/>
    </row>
    <row r="1400" spans="1:3">
      <c r="A1400" s="401"/>
      <c r="B1400" s="401"/>
      <c r="C1400" s="401"/>
    </row>
    <row r="1401" spans="1:3">
      <c r="A1401" s="401"/>
      <c r="B1401" s="401"/>
      <c r="C1401" s="401"/>
    </row>
    <row r="1402" spans="1:3">
      <c r="A1402" s="401"/>
      <c r="B1402" s="401"/>
      <c r="C1402" s="401"/>
    </row>
    <row r="1403" spans="1:3">
      <c r="A1403" s="401"/>
      <c r="B1403" s="401"/>
      <c r="C1403" s="401"/>
    </row>
    <row r="1404" spans="1:3">
      <c r="A1404" s="401"/>
      <c r="B1404" s="401"/>
      <c r="C1404" s="401"/>
    </row>
    <row r="1405" spans="1:3">
      <c r="A1405" s="401"/>
      <c r="B1405" s="401"/>
      <c r="C1405" s="401"/>
    </row>
    <row r="1406" spans="1:3">
      <c r="A1406" s="401"/>
      <c r="B1406" s="401"/>
      <c r="C1406" s="401"/>
    </row>
    <row r="1407" spans="1:3">
      <c r="A1407" s="401"/>
      <c r="B1407" s="401"/>
      <c r="C1407" s="401"/>
    </row>
    <row r="1408" spans="1:3">
      <c r="A1408" s="401"/>
      <c r="B1408" s="401"/>
      <c r="C1408" s="401"/>
    </row>
    <row r="1409" spans="1:3">
      <c r="A1409" s="401"/>
      <c r="B1409" s="401"/>
      <c r="C1409" s="401"/>
    </row>
    <row r="1410" spans="1:3">
      <c r="A1410" s="401"/>
      <c r="B1410" s="401"/>
      <c r="C1410" s="401"/>
    </row>
    <row r="1411" spans="1:3">
      <c r="A1411" s="401"/>
      <c r="B1411" s="401"/>
      <c r="C1411" s="401"/>
    </row>
    <row r="1412" spans="1:3">
      <c r="A1412" s="401"/>
      <c r="B1412" s="401"/>
      <c r="C1412" s="401"/>
    </row>
    <row r="1413" spans="1:3">
      <c r="A1413" s="401"/>
      <c r="B1413" s="401"/>
      <c r="C1413" s="401"/>
    </row>
    <row r="1414" spans="1:3">
      <c r="A1414" s="401"/>
      <c r="B1414" s="401"/>
      <c r="C1414" s="401"/>
    </row>
    <row r="1415" spans="1:3">
      <c r="A1415" s="401"/>
      <c r="B1415" s="401"/>
      <c r="C1415" s="401"/>
    </row>
    <row r="1416" spans="1:3">
      <c r="A1416" s="401"/>
      <c r="B1416" s="401"/>
      <c r="C1416" s="401"/>
    </row>
    <row r="1417" spans="1:3">
      <c r="A1417" s="401"/>
      <c r="B1417" s="401"/>
      <c r="C1417" s="401"/>
    </row>
    <row r="1418" spans="1:3">
      <c r="A1418" s="401"/>
      <c r="B1418" s="401"/>
      <c r="C1418" s="401"/>
    </row>
    <row r="1419" spans="1:3">
      <c r="A1419" s="401"/>
      <c r="B1419" s="401"/>
      <c r="C1419" s="401"/>
    </row>
    <row r="1420" spans="1:3">
      <c r="A1420" s="401"/>
      <c r="B1420" s="401"/>
      <c r="C1420" s="401"/>
    </row>
    <row r="1421" spans="1:3">
      <c r="A1421" s="401"/>
      <c r="B1421" s="401"/>
      <c r="C1421" s="401"/>
    </row>
    <row r="1422" spans="1:3">
      <c r="A1422" s="401"/>
      <c r="B1422" s="401"/>
      <c r="C1422" s="401"/>
    </row>
    <row r="1423" spans="1:3">
      <c r="A1423" s="401"/>
      <c r="B1423" s="401"/>
      <c r="C1423" s="401"/>
    </row>
    <row r="1424" spans="1:3">
      <c r="A1424" s="401"/>
      <c r="B1424" s="401"/>
      <c r="C1424" s="401"/>
    </row>
    <row r="1425" spans="1:3">
      <c r="A1425" s="401"/>
      <c r="B1425" s="401"/>
      <c r="C1425" s="401"/>
    </row>
    <row r="1426" spans="1:3">
      <c r="A1426" s="401"/>
      <c r="B1426" s="401"/>
      <c r="C1426" s="401"/>
    </row>
    <row r="1427" spans="1:3">
      <c r="A1427" s="401"/>
      <c r="B1427" s="401"/>
      <c r="C1427" s="401"/>
    </row>
    <row r="1428" spans="1:3">
      <c r="A1428" s="401"/>
      <c r="B1428" s="401"/>
      <c r="C1428" s="401"/>
    </row>
    <row r="1429" spans="1:3">
      <c r="A1429" s="401"/>
      <c r="B1429" s="401"/>
      <c r="C1429" s="401"/>
    </row>
    <row r="1430" spans="1:3">
      <c r="A1430" s="401"/>
      <c r="B1430" s="401"/>
      <c r="C1430" s="401"/>
    </row>
    <row r="1431" spans="1:3">
      <c r="A1431" s="401"/>
      <c r="B1431" s="401"/>
      <c r="C1431" s="401"/>
    </row>
    <row r="1432" spans="1:3">
      <c r="A1432" s="401"/>
      <c r="B1432" s="401"/>
      <c r="C1432" s="401"/>
    </row>
    <row r="1433" spans="1:3">
      <c r="A1433" s="401"/>
      <c r="B1433" s="401"/>
      <c r="C1433" s="401"/>
    </row>
    <row r="1434" spans="1:3">
      <c r="A1434" s="401"/>
      <c r="B1434" s="401"/>
      <c r="C1434" s="401"/>
    </row>
    <row r="1435" spans="1:3">
      <c r="A1435" s="401"/>
      <c r="B1435" s="401"/>
      <c r="C1435" s="401"/>
    </row>
    <row r="1436" spans="1:3">
      <c r="A1436" s="401"/>
      <c r="B1436" s="401"/>
      <c r="C1436" s="401"/>
    </row>
    <row r="1437" spans="1:3">
      <c r="A1437" s="401"/>
      <c r="B1437" s="401"/>
      <c r="C1437" s="401"/>
    </row>
    <row r="1438" spans="1:3">
      <c r="A1438" s="401"/>
      <c r="B1438" s="401"/>
      <c r="C1438" s="401"/>
    </row>
    <row r="1439" spans="1:3">
      <c r="A1439" s="401"/>
      <c r="B1439" s="401"/>
      <c r="C1439" s="401"/>
    </row>
    <row r="1440" spans="1:3">
      <c r="A1440" s="401"/>
      <c r="B1440" s="401"/>
      <c r="C1440" s="401"/>
    </row>
    <row r="1441" spans="1:3">
      <c r="A1441" s="401"/>
      <c r="B1441" s="401"/>
      <c r="C1441" s="401"/>
    </row>
    <row r="1442" spans="1:3">
      <c r="A1442" s="401"/>
      <c r="B1442" s="401"/>
      <c r="C1442" s="401"/>
    </row>
    <row r="1443" spans="1:3">
      <c r="A1443" s="401"/>
      <c r="B1443" s="401"/>
      <c r="C1443" s="401"/>
    </row>
    <row r="1444" spans="1:3">
      <c r="A1444" s="401"/>
      <c r="B1444" s="401"/>
      <c r="C1444" s="401"/>
    </row>
    <row r="1445" spans="1:3">
      <c r="A1445" s="401"/>
      <c r="B1445" s="401"/>
      <c r="C1445" s="401"/>
    </row>
    <row r="1446" spans="1:3">
      <c r="A1446" s="401"/>
      <c r="B1446" s="401"/>
      <c r="C1446" s="401"/>
    </row>
    <row r="1447" spans="1:3">
      <c r="A1447" s="401"/>
      <c r="B1447" s="401"/>
      <c r="C1447" s="401"/>
    </row>
    <row r="1448" spans="1:3">
      <c r="A1448" s="401"/>
      <c r="B1448" s="401"/>
      <c r="C1448" s="401"/>
    </row>
    <row r="1449" spans="1:3">
      <c r="A1449" s="401"/>
      <c r="B1449" s="401"/>
      <c r="C1449" s="401"/>
    </row>
    <row r="1450" spans="1:3">
      <c r="A1450" s="401"/>
      <c r="B1450" s="401"/>
      <c r="C1450" s="401"/>
    </row>
    <row r="1451" spans="1:3">
      <c r="A1451" s="401"/>
      <c r="B1451" s="401"/>
      <c r="C1451" s="401"/>
    </row>
    <row r="1452" spans="1:3">
      <c r="A1452" s="401"/>
      <c r="B1452" s="401"/>
      <c r="C1452" s="401"/>
    </row>
    <row r="1453" spans="1:3">
      <c r="A1453" s="401"/>
      <c r="B1453" s="401"/>
      <c r="C1453" s="401"/>
    </row>
    <row r="1454" spans="1:3">
      <c r="A1454" s="401"/>
      <c r="B1454" s="401"/>
      <c r="C1454" s="401"/>
    </row>
    <row r="1455" spans="1:3">
      <c r="A1455" s="401"/>
      <c r="B1455" s="401"/>
      <c r="C1455" s="401"/>
    </row>
    <row r="1456" spans="1:3">
      <c r="A1456" s="401"/>
      <c r="B1456" s="401"/>
      <c r="C1456" s="401"/>
    </row>
    <row r="1457" spans="1:3">
      <c r="A1457" s="401"/>
      <c r="B1457" s="401"/>
      <c r="C1457" s="401"/>
    </row>
    <row r="1458" spans="1:3">
      <c r="A1458" s="401"/>
      <c r="B1458" s="401"/>
      <c r="C1458" s="401"/>
    </row>
    <row r="1459" spans="1:3">
      <c r="A1459" s="401"/>
      <c r="B1459" s="401"/>
      <c r="C1459" s="401"/>
    </row>
    <row r="1460" spans="1:3">
      <c r="A1460" s="401"/>
      <c r="B1460" s="401"/>
      <c r="C1460" s="401"/>
    </row>
    <row r="1461" spans="1:3">
      <c r="A1461" s="401"/>
      <c r="B1461" s="401"/>
      <c r="C1461" s="401"/>
    </row>
    <row r="1462" spans="1:3">
      <c r="A1462" s="401"/>
      <c r="B1462" s="401"/>
      <c r="C1462" s="401"/>
    </row>
    <row r="1463" spans="1:3">
      <c r="A1463" s="401"/>
      <c r="B1463" s="401"/>
      <c r="C1463" s="401"/>
    </row>
    <row r="1464" spans="1:3">
      <c r="A1464" s="401"/>
      <c r="B1464" s="401"/>
      <c r="C1464" s="401"/>
    </row>
    <row r="1465" spans="1:3">
      <c r="A1465" s="401"/>
      <c r="B1465" s="401"/>
      <c r="C1465" s="401"/>
    </row>
    <row r="1466" spans="1:3">
      <c r="A1466" s="401"/>
      <c r="B1466" s="401"/>
      <c r="C1466" s="401"/>
    </row>
    <row r="1467" spans="1:3">
      <c r="A1467" s="401"/>
      <c r="B1467" s="401"/>
      <c r="C1467" s="401"/>
    </row>
    <row r="1468" spans="1:3">
      <c r="A1468" s="401"/>
      <c r="B1468" s="401"/>
      <c r="C1468" s="401"/>
    </row>
    <row r="1469" spans="1:3">
      <c r="A1469" s="401"/>
      <c r="B1469" s="401"/>
      <c r="C1469" s="401"/>
    </row>
    <row r="1470" spans="1:3">
      <c r="A1470" s="401"/>
      <c r="B1470" s="401"/>
      <c r="C1470" s="401"/>
    </row>
    <row r="1471" spans="1:3">
      <c r="A1471" s="401"/>
      <c r="B1471" s="401"/>
      <c r="C1471" s="401"/>
    </row>
    <row r="1472" spans="1:3">
      <c r="A1472" s="401"/>
      <c r="B1472" s="401"/>
      <c r="C1472" s="401"/>
    </row>
    <row r="1473" spans="1:3">
      <c r="A1473" s="401"/>
      <c r="B1473" s="401"/>
      <c r="C1473" s="401"/>
    </row>
    <row r="1474" spans="1:3">
      <c r="A1474" s="401"/>
      <c r="B1474" s="401"/>
      <c r="C1474" s="401"/>
    </row>
    <row r="1475" spans="1:3">
      <c r="A1475" s="401"/>
      <c r="B1475" s="401"/>
      <c r="C1475" s="401"/>
    </row>
    <row r="1476" spans="1:3">
      <c r="A1476" s="401"/>
      <c r="B1476" s="401"/>
      <c r="C1476" s="401"/>
    </row>
    <row r="1477" spans="1:3">
      <c r="A1477" s="401"/>
      <c r="B1477" s="401"/>
      <c r="C1477" s="401"/>
    </row>
    <row r="1478" spans="1:3">
      <c r="A1478" s="401"/>
      <c r="B1478" s="401"/>
      <c r="C1478" s="401"/>
    </row>
    <row r="1479" spans="1:3">
      <c r="A1479" s="401"/>
      <c r="B1479" s="401"/>
      <c r="C1479" s="401"/>
    </row>
    <row r="1480" spans="1:3">
      <c r="A1480" s="401"/>
      <c r="B1480" s="401"/>
      <c r="C1480" s="401"/>
    </row>
    <row r="1481" spans="1:3">
      <c r="A1481" s="401"/>
      <c r="B1481" s="401"/>
      <c r="C1481" s="401"/>
    </row>
    <row r="1482" spans="1:3">
      <c r="A1482" s="401"/>
      <c r="B1482" s="401"/>
      <c r="C1482" s="401"/>
    </row>
    <row r="1483" spans="1:3">
      <c r="A1483" s="401"/>
      <c r="B1483" s="401"/>
      <c r="C1483" s="401"/>
    </row>
    <row r="1484" spans="1:3">
      <c r="A1484" s="401"/>
      <c r="B1484" s="401"/>
      <c r="C1484" s="401"/>
    </row>
    <row r="1485" spans="1:3">
      <c r="A1485" s="401"/>
      <c r="B1485" s="401"/>
      <c r="C1485" s="401"/>
    </row>
    <row r="1486" spans="1:3">
      <c r="A1486" s="401"/>
      <c r="B1486" s="401"/>
      <c r="C1486" s="401"/>
    </row>
    <row r="1487" spans="1:3">
      <c r="A1487" s="401"/>
      <c r="B1487" s="401"/>
      <c r="C1487" s="401"/>
    </row>
    <row r="1488" spans="1:3">
      <c r="A1488" s="401"/>
      <c r="B1488" s="401"/>
      <c r="C1488" s="401"/>
    </row>
    <row r="1489" spans="1:3">
      <c r="A1489" s="401"/>
      <c r="B1489" s="401"/>
      <c r="C1489" s="401"/>
    </row>
    <row r="1490" spans="1:3">
      <c r="A1490" s="401"/>
      <c r="B1490" s="401"/>
      <c r="C1490" s="401"/>
    </row>
    <row r="1491" spans="1:3">
      <c r="A1491" s="401"/>
      <c r="B1491" s="401"/>
      <c r="C1491" s="401"/>
    </row>
    <row r="1492" spans="1:3">
      <c r="A1492" s="401"/>
      <c r="B1492" s="401"/>
      <c r="C1492" s="401"/>
    </row>
    <row r="1493" spans="1:3">
      <c r="A1493" s="401"/>
      <c r="B1493" s="401"/>
      <c r="C1493" s="401"/>
    </row>
    <row r="1494" spans="1:3">
      <c r="A1494" s="401"/>
      <c r="B1494" s="401"/>
      <c r="C1494" s="401"/>
    </row>
    <row r="1495" spans="1:3">
      <c r="A1495" s="401"/>
      <c r="B1495" s="401"/>
      <c r="C1495" s="401"/>
    </row>
    <row r="1496" spans="1:3">
      <c r="A1496" s="401"/>
      <c r="B1496" s="401"/>
      <c r="C1496" s="401"/>
    </row>
    <row r="1497" spans="1:3">
      <c r="A1497" s="401"/>
      <c r="B1497" s="401"/>
      <c r="C1497" s="401"/>
    </row>
    <row r="1498" spans="1:3">
      <c r="A1498" s="401"/>
      <c r="B1498" s="401"/>
      <c r="C1498" s="401"/>
    </row>
    <row r="1499" spans="1:3">
      <c r="A1499" s="401"/>
      <c r="B1499" s="401"/>
      <c r="C1499" s="401"/>
    </row>
    <row r="1500" spans="1:3">
      <c r="A1500" s="401"/>
      <c r="B1500" s="401"/>
      <c r="C1500" s="401"/>
    </row>
    <row r="1501" spans="1:3">
      <c r="A1501" s="401"/>
      <c r="B1501" s="401"/>
      <c r="C1501" s="401"/>
    </row>
    <row r="1502" spans="1:3">
      <c r="A1502" s="401"/>
      <c r="B1502" s="401"/>
      <c r="C1502" s="401"/>
    </row>
    <row r="1503" spans="1:3">
      <c r="A1503" s="401"/>
      <c r="B1503" s="401"/>
      <c r="C1503" s="401"/>
    </row>
    <row r="1504" spans="1:3">
      <c r="A1504" s="401"/>
      <c r="B1504" s="401"/>
      <c r="C1504" s="401"/>
    </row>
    <row r="1505" spans="1:3">
      <c r="A1505" s="401"/>
      <c r="B1505" s="401"/>
      <c r="C1505" s="401"/>
    </row>
    <row r="1506" spans="1:3">
      <c r="A1506" s="401"/>
      <c r="B1506" s="401"/>
      <c r="C1506" s="401"/>
    </row>
    <row r="1507" spans="1:3">
      <c r="A1507" s="401"/>
      <c r="B1507" s="401"/>
      <c r="C1507" s="401"/>
    </row>
    <row r="1508" spans="1:3">
      <c r="A1508" s="401"/>
      <c r="B1508" s="401"/>
      <c r="C1508" s="401"/>
    </row>
    <row r="1509" spans="1:3">
      <c r="A1509" s="401"/>
      <c r="B1509" s="401"/>
      <c r="C1509" s="401"/>
    </row>
    <row r="1510" spans="1:3">
      <c r="A1510" s="401"/>
      <c r="B1510" s="401"/>
      <c r="C1510" s="401"/>
    </row>
    <row r="1511" spans="1:3">
      <c r="A1511" s="401"/>
      <c r="B1511" s="401"/>
      <c r="C1511" s="401"/>
    </row>
    <row r="1512" spans="1:3">
      <c r="A1512" s="401"/>
      <c r="B1512" s="401"/>
      <c r="C1512" s="401"/>
    </row>
    <row r="1513" spans="1:3">
      <c r="A1513" s="401"/>
      <c r="B1513" s="401"/>
      <c r="C1513" s="401"/>
    </row>
    <row r="1514" spans="1:3">
      <c r="A1514" s="401"/>
      <c r="B1514" s="401"/>
      <c r="C1514" s="401"/>
    </row>
    <row r="1515" spans="1:3">
      <c r="A1515" s="401"/>
      <c r="B1515" s="401"/>
      <c r="C1515" s="401"/>
    </row>
    <row r="1516" spans="1:3">
      <c r="A1516" s="401"/>
      <c r="B1516" s="401"/>
      <c r="C1516" s="401"/>
    </row>
    <row r="1517" spans="1:3">
      <c r="A1517" s="401"/>
      <c r="B1517" s="401"/>
      <c r="C1517" s="401"/>
    </row>
    <row r="1518" spans="1:3">
      <c r="A1518" s="401"/>
      <c r="B1518" s="401"/>
      <c r="C1518" s="401"/>
    </row>
    <row r="1519" spans="1:3">
      <c r="A1519" s="401"/>
      <c r="B1519" s="401"/>
      <c r="C1519" s="401"/>
    </row>
    <row r="1520" spans="1:3">
      <c r="A1520" s="401"/>
      <c r="B1520" s="401"/>
      <c r="C1520" s="401"/>
    </row>
    <row r="1521" spans="1:3">
      <c r="A1521" s="401"/>
      <c r="B1521" s="401"/>
      <c r="C1521" s="401"/>
    </row>
    <row r="1522" spans="1:3">
      <c r="A1522" s="401"/>
      <c r="B1522" s="401"/>
      <c r="C1522" s="401"/>
    </row>
    <row r="1523" spans="1:3">
      <c r="A1523" s="401"/>
      <c r="B1523" s="401"/>
      <c r="C1523" s="401"/>
    </row>
    <row r="1524" spans="1:3">
      <c r="A1524" s="401"/>
      <c r="B1524" s="401"/>
      <c r="C1524" s="401"/>
    </row>
    <row r="1525" spans="1:3">
      <c r="A1525" s="401"/>
      <c r="B1525" s="401"/>
      <c r="C1525" s="401"/>
    </row>
    <row r="1526" spans="1:3">
      <c r="A1526" s="401"/>
      <c r="B1526" s="401"/>
      <c r="C1526" s="401"/>
    </row>
    <row r="1527" spans="1:3">
      <c r="A1527" s="401"/>
      <c r="B1527" s="401"/>
      <c r="C1527" s="401"/>
    </row>
    <row r="1528" spans="1:3">
      <c r="A1528" s="401"/>
      <c r="B1528" s="401"/>
      <c r="C1528" s="401"/>
    </row>
    <row r="1529" spans="1:3">
      <c r="A1529" s="401"/>
      <c r="B1529" s="401"/>
      <c r="C1529" s="401"/>
    </row>
    <row r="1530" spans="1:3">
      <c r="A1530" s="401"/>
      <c r="B1530" s="401"/>
      <c r="C1530" s="401"/>
    </row>
    <row r="1531" spans="1:3">
      <c r="A1531" s="401"/>
      <c r="B1531" s="401"/>
      <c r="C1531" s="401"/>
    </row>
    <row r="1532" spans="1:3">
      <c r="A1532" s="401"/>
      <c r="B1532" s="401"/>
      <c r="C1532" s="401"/>
    </row>
    <row r="1533" spans="1:3">
      <c r="A1533" s="401"/>
      <c r="B1533" s="401"/>
      <c r="C1533" s="401"/>
    </row>
    <row r="1534" spans="1:3">
      <c r="A1534" s="401"/>
      <c r="B1534" s="401"/>
      <c r="C1534" s="401"/>
    </row>
    <row r="1535" spans="1:3">
      <c r="A1535" s="401"/>
      <c r="B1535" s="401"/>
      <c r="C1535" s="401"/>
    </row>
    <row r="1536" spans="1:3">
      <c r="A1536" s="401"/>
      <c r="B1536" s="401"/>
      <c r="C1536" s="401"/>
    </row>
    <row r="1537" spans="1:9">
      <c r="A1537" s="401"/>
      <c r="B1537" s="401"/>
      <c r="C1537" s="401"/>
    </row>
    <row r="1538" spans="1:9"/>
    <row r="1539" spans="1:9"/>
    <row r="1540" spans="1:9"/>
    <row r="1541" spans="1:9">
      <c r="G1541" s="1313"/>
      <c r="H1541" s="1313"/>
      <c r="I1541" s="131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5" zoomScaleNormal="115" workbookViewId="0">
      <selection activeCell="H328" sqref="H328:R32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0">
        <v>4</v>
      </c>
      <c r="BD1" s="3" t="s">
        <v>2499</v>
      </c>
      <c r="BE1" s="3"/>
      <c r="BF1" s="3"/>
    </row>
    <row r="2" spans="1:58" ht="12.95" customHeight="1">
      <c r="BD2" s="3" t="s">
        <v>2500</v>
      </c>
      <c r="BE2" s="3" t="s">
        <v>2501</v>
      </c>
      <c r="BF2" s="3" t="s">
        <v>2502</v>
      </c>
    </row>
    <row r="3" spans="1:58" ht="12.95" customHeight="1">
      <c r="BD3" s="3" t="s">
        <v>2597</v>
      </c>
      <c r="BE3" t="str">
        <f>AC220</f>
        <v>City of Los Angeles</v>
      </c>
    </row>
    <row r="4" spans="1:58" ht="12.95" customHeight="1">
      <c r="BD4" s="3" t="s">
        <v>2509</v>
      </c>
      <c r="BE4" s="1245"/>
    </row>
    <row r="5" spans="1:58" ht="12.95" customHeight="1">
      <c r="BD5" s="3" t="s">
        <v>2510</v>
      </c>
      <c r="BE5">
        <f>SUMIF($AC$718:$AC$752,"&lt;=20%",$G$718:G$752)</f>
        <v>0</v>
      </c>
      <c r="BF5" s="3" t="s">
        <v>2515</v>
      </c>
    </row>
    <row r="6" spans="1:58" ht="12.95" customHeight="1">
      <c r="BD6" s="3" t="s">
        <v>2511</v>
      </c>
      <c r="BE6" s="1248">
        <f>SUMIF($AC$718:$AC$752,"&lt;=25%",$G$718:G$752)-SUM($BE$5:BE5)</f>
        <v>0</v>
      </c>
    </row>
    <row r="7" spans="1:58" ht="12.95" customHeight="1">
      <c r="BD7" s="1246" t="s">
        <v>2503</v>
      </c>
      <c r="BE7" s="1248">
        <f>SUMIF($AC$718:$AC$752,"&lt;=30%",$G$718:G$752)-SUM($BE$5:BE6)</f>
        <v>75</v>
      </c>
    </row>
    <row r="8" spans="1:58" ht="26.25" customHeight="1">
      <c r="A8" s="1415" t="s">
        <v>100</v>
      </c>
      <c r="B8" s="1415"/>
      <c r="C8" s="1415"/>
      <c r="D8" s="1415"/>
      <c r="E8" s="1415"/>
      <c r="F8" s="1415"/>
      <c r="G8" s="1415"/>
      <c r="H8" s="1415"/>
      <c r="I8" s="1415"/>
      <c r="J8" s="1415"/>
      <c r="K8" s="1415"/>
      <c r="L8" s="1415"/>
      <c r="M8" s="1415"/>
      <c r="N8" s="1415"/>
      <c r="O8" s="1415"/>
      <c r="P8" s="1415"/>
      <c r="Q8" s="1415"/>
      <c r="R8" s="1415"/>
      <c r="S8" s="1415"/>
      <c r="T8" s="1415"/>
      <c r="U8" s="1415"/>
      <c r="V8" s="1415"/>
      <c r="W8" s="1415"/>
      <c r="X8" s="1415"/>
      <c r="Y8" s="1415"/>
      <c r="Z8" s="1415"/>
      <c r="AA8" s="1415"/>
      <c r="AB8" s="1415"/>
      <c r="AC8" s="1415"/>
      <c r="AD8" s="1415"/>
      <c r="AE8" s="1415"/>
      <c r="AF8" s="1415"/>
      <c r="AG8" s="1415"/>
      <c r="AH8" s="1415"/>
      <c r="AI8" s="1415"/>
      <c r="AJ8" s="1415"/>
      <c r="AK8" s="1415"/>
      <c r="AL8" s="1415"/>
      <c r="AM8" s="1415"/>
      <c r="AN8" s="1415"/>
      <c r="AO8" s="1415"/>
      <c r="AP8" s="1415"/>
      <c r="AQ8" s="1415"/>
      <c r="AR8" s="1415"/>
      <c r="AS8" s="1415"/>
      <c r="AT8" s="1415"/>
      <c r="AU8" s="897"/>
      <c r="AV8" s="897"/>
      <c r="AW8" s="897"/>
      <c r="AX8" s="897"/>
      <c r="AY8" s="897"/>
      <c r="BD8" s="3" t="s">
        <v>2512</v>
      </c>
      <c r="BE8" s="1248">
        <f>SUMIF($AC$718:$AC$752,"&lt;=35%",$G$718:G$752)-SUM($BE$5:BE7)</f>
        <v>0</v>
      </c>
    </row>
    <row r="9" spans="1:58" ht="12.95" customHeight="1">
      <c r="A9" s="1377" t="s">
        <v>2078</v>
      </c>
      <c r="B9" s="1377"/>
      <c r="C9" s="1377"/>
      <c r="D9" s="1377"/>
      <c r="E9" s="1377"/>
      <c r="F9" s="1377"/>
      <c r="G9" s="1377"/>
      <c r="H9" s="1377"/>
      <c r="I9" s="1377"/>
      <c r="J9" s="1377"/>
      <c r="K9" s="1377"/>
      <c r="L9" s="1377"/>
      <c r="M9" s="1377"/>
      <c r="N9" s="1377"/>
      <c r="O9" s="1377"/>
      <c r="P9" s="1377"/>
      <c r="Q9" s="1377"/>
      <c r="R9" s="1377"/>
      <c r="S9" s="1377"/>
      <c r="T9" s="1377"/>
      <c r="U9" s="1377"/>
      <c r="V9" s="1377"/>
      <c r="W9" s="1377"/>
      <c r="X9" s="1377"/>
      <c r="Y9" s="1377"/>
      <c r="Z9" s="1377"/>
      <c r="AA9" s="1377"/>
      <c r="AB9" s="1377"/>
      <c r="AC9" s="1377"/>
      <c r="AD9" s="1377"/>
      <c r="AE9" s="1377"/>
      <c r="AF9" s="1377"/>
      <c r="AG9" s="1377"/>
      <c r="AH9" s="1377"/>
      <c r="AI9" s="1377"/>
      <c r="AJ9" s="1377"/>
      <c r="AK9" s="1377"/>
      <c r="AL9" s="1377"/>
      <c r="AM9" s="1377"/>
      <c r="AN9" s="1377"/>
      <c r="AO9" s="1377"/>
      <c r="AP9" s="1377"/>
      <c r="AQ9" s="1377"/>
      <c r="AR9" s="1377"/>
      <c r="AS9" s="1377"/>
      <c r="AT9" s="1377"/>
      <c r="AU9" s="13"/>
      <c r="AV9" s="13"/>
      <c r="AW9" s="13"/>
      <c r="AX9" s="13"/>
      <c r="AY9" s="13"/>
      <c r="BD9" s="1247" t="s">
        <v>2504</v>
      </c>
      <c r="BE9" s="1248">
        <f>SUMIF($AC$718:$AC$752,"&lt;=40%",$G$718:G$752)-SUM($BE$5:BE8)</f>
        <v>0</v>
      </c>
    </row>
    <row r="10" spans="1:58" ht="12.95" customHeight="1">
      <c r="A10" s="1377" t="s">
        <v>2461</v>
      </c>
      <c r="B10" s="1377"/>
      <c r="C10" s="1377"/>
      <c r="D10" s="1377"/>
      <c r="E10" s="1377"/>
      <c r="F10" s="1377"/>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377"/>
      <c r="AC10" s="1377"/>
      <c r="AD10" s="1377"/>
      <c r="AE10" s="1377"/>
      <c r="AF10" s="1377"/>
      <c r="AG10" s="1377"/>
      <c r="AH10" s="1377"/>
      <c r="AI10" s="1377"/>
      <c r="AJ10" s="1377"/>
      <c r="AK10" s="1377"/>
      <c r="AL10" s="1377"/>
      <c r="AM10" s="1377"/>
      <c r="AN10" s="1377"/>
      <c r="AO10" s="1377"/>
      <c r="AP10" s="1377"/>
      <c r="AQ10" s="1377"/>
      <c r="AR10" s="1377"/>
      <c r="AS10" s="1377"/>
      <c r="AT10" s="1377"/>
      <c r="AU10" s="13"/>
      <c r="AV10" s="13"/>
      <c r="AW10" s="13"/>
      <c r="AX10" s="13"/>
      <c r="AY10" s="13"/>
      <c r="BD10" s="3" t="s">
        <v>2513</v>
      </c>
      <c r="BE10" s="1248">
        <f>SUMIF($AC$718:$AC$752,"&lt;=45%",$G$718:G$752)-SUM($BE$5:BE9)</f>
        <v>0</v>
      </c>
    </row>
    <row r="11" spans="1:58" ht="12.95" customHeight="1">
      <c r="A11" s="1377" t="s">
        <v>2607</v>
      </c>
      <c r="B11" s="1377"/>
      <c r="C11" s="1377"/>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377"/>
      <c r="AJ11" s="1377"/>
      <c r="AK11" s="1377"/>
      <c r="AL11" s="1377"/>
      <c r="AM11" s="1377"/>
      <c r="AN11" s="1377"/>
      <c r="AO11" s="1377"/>
      <c r="AP11" s="1377"/>
      <c r="AQ11" s="1377"/>
      <c r="AR11" s="1377"/>
      <c r="AS11" s="1377"/>
      <c r="AT11" s="1377"/>
      <c r="AU11" s="13"/>
      <c r="AV11" s="13"/>
      <c r="AW11" s="13"/>
      <c r="AX11" s="13"/>
      <c r="AY11" s="13"/>
      <c r="BD11" s="1246" t="s">
        <v>2505</v>
      </c>
      <c r="BE11" s="1248">
        <f>SUMIF($AC$718:$AC$752,"&lt;=50%",$G$718:G$752)-SUM($BE$5:BE10)</f>
        <v>0</v>
      </c>
    </row>
    <row r="12" spans="1:58" ht="12.95" customHeight="1">
      <c r="A12" s="1416" t="s">
        <v>2612</v>
      </c>
      <c r="B12" s="1416"/>
      <c r="C12" s="1416"/>
      <c r="D12" s="1416"/>
      <c r="E12" s="1416"/>
      <c r="F12" s="1416"/>
      <c r="G12" s="1416"/>
      <c r="H12" s="1416"/>
      <c r="I12" s="1416"/>
      <c r="J12" s="1416"/>
      <c r="K12" s="1416"/>
      <c r="L12" s="1416"/>
      <c r="M12" s="1416"/>
      <c r="N12" s="1416"/>
      <c r="O12" s="1416"/>
      <c r="P12" s="1416"/>
      <c r="Q12" s="1416"/>
      <c r="R12" s="1416"/>
      <c r="S12" s="1416"/>
      <c r="T12" s="1416"/>
      <c r="U12" s="1416"/>
      <c r="V12" s="1416"/>
      <c r="W12" s="1416"/>
      <c r="X12" s="1416"/>
      <c r="Y12" s="1416"/>
      <c r="Z12" s="1416"/>
      <c r="AA12" s="1416"/>
      <c r="AB12" s="1416"/>
      <c r="AC12" s="1416"/>
      <c r="AD12" s="1416"/>
      <c r="AE12" s="1416"/>
      <c r="AF12" s="1416"/>
      <c r="AG12" s="1416"/>
      <c r="AH12" s="1416"/>
      <c r="AI12" s="1416"/>
      <c r="AJ12" s="1416"/>
      <c r="AK12" s="1416"/>
      <c r="AL12" s="1416"/>
      <c r="AM12" s="1416"/>
      <c r="AN12" s="1416"/>
      <c r="AO12" s="1416"/>
      <c r="AP12" s="1416"/>
      <c r="AQ12" s="1416"/>
      <c r="AR12" s="1416"/>
      <c r="AS12" s="1416"/>
      <c r="AT12" s="1416"/>
      <c r="AU12" s="6"/>
      <c r="AV12" s="6"/>
      <c r="AW12" s="6"/>
      <c r="AX12" s="6"/>
      <c r="AY12" s="6"/>
      <c r="BD12" s="3" t="s">
        <v>2514</v>
      </c>
      <c r="BE12" s="1248">
        <f>SUMIF($AC$718:$AC$752,"&lt;=55%",$G$718:G$752)-SUM($BE$5:BE11)</f>
        <v>0</v>
      </c>
    </row>
    <row r="13" spans="1:58" ht="12.95" customHeight="1">
      <c r="A13" s="1264" t="s">
        <v>2079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898"/>
      <c r="AV13" s="898"/>
      <c r="AW13" s="898"/>
      <c r="AX13" s="898"/>
      <c r="AY13" s="898"/>
      <c r="BD13" s="1247" t="s">
        <v>2506</v>
      </c>
      <c r="BE13" s="1248">
        <f>SUMIF($AC$718:$AC$752,"&lt;=60%",$G$718:G$752)-SUM($BE$5:BE12)</f>
        <v>74</v>
      </c>
    </row>
    <row r="14" spans="1:58"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898"/>
      <c r="AV14" s="898"/>
      <c r="AW14" s="898"/>
      <c r="AX14" s="898"/>
      <c r="AY14" s="898"/>
      <c r="BD14" s="1246" t="s">
        <v>2507</v>
      </c>
      <c r="BE14" s="1248">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7" t="s">
        <v>2508</v>
      </c>
      <c r="BE15" s="1248">
        <f>SUMIF($AC$718:$AC$752,"&lt;=80%",$G$718:G$752)-SUM($BE$5:BE14)</f>
        <v>0</v>
      </c>
    </row>
    <row r="16" spans="1:58" ht="12.95" customHeight="1">
      <c r="A16" s="57" t="s">
        <v>2080</v>
      </c>
      <c r="C16" s="4"/>
      <c r="D16" s="4"/>
      <c r="E16" s="4"/>
      <c r="F16" s="4"/>
      <c r="G16" s="4"/>
      <c r="H16" s="1424" t="s">
        <v>2613</v>
      </c>
      <c r="I16" s="1425"/>
      <c r="J16" s="1425"/>
      <c r="K16" s="1425"/>
      <c r="L16" s="1425"/>
      <c r="M16" s="1425"/>
      <c r="N16" s="1425"/>
      <c r="O16" s="1425"/>
      <c r="P16" s="1425"/>
      <c r="Q16" s="1425"/>
      <c r="R16" s="1425"/>
      <c r="S16" s="1425"/>
      <c r="T16" s="1425"/>
      <c r="U16" s="1425"/>
      <c r="V16" s="1425"/>
      <c r="W16" s="1425"/>
      <c r="X16" s="1425"/>
      <c r="Y16" s="1425"/>
      <c r="Z16" s="1425"/>
      <c r="AA16" s="1425"/>
      <c r="AB16" s="1425"/>
      <c r="AC16" s="1425"/>
      <c r="AD16" s="1425"/>
      <c r="AE16" s="1425"/>
      <c r="AF16" s="1425"/>
      <c r="AG16" s="1425"/>
      <c r="AH16" s="1425"/>
      <c r="AI16" s="1425"/>
      <c r="AJ16" s="1425"/>
      <c r="BD16" s="1247" t="s">
        <v>657</v>
      </c>
      <c r="BE16" s="1248" t="str">
        <f>Application!H18</f>
        <v>Century + Restorative Care Village Phase II</v>
      </c>
    </row>
    <row r="17" spans="1:58" ht="12.95" customHeight="1">
      <c r="BD17" s="1246" t="s">
        <v>2521</v>
      </c>
      <c r="BE17" s="1248">
        <f>Application!AA934</f>
        <v>0</v>
      </c>
    </row>
    <row r="18" spans="1:58" ht="12.95" customHeight="1">
      <c r="A18" s="57" t="s">
        <v>101</v>
      </c>
      <c r="C18" s="4"/>
      <c r="D18" s="4"/>
      <c r="E18" s="4"/>
      <c r="F18" s="4"/>
      <c r="G18" s="4"/>
      <c r="H18" s="1421" t="s">
        <v>2614</v>
      </c>
      <c r="I18" s="1422"/>
      <c r="J18" s="1422"/>
      <c r="K18" s="1422"/>
      <c r="L18" s="1422"/>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BD18" s="1247" t="s">
        <v>2522</v>
      </c>
      <c r="BE18" s="1248">
        <f>'CalHFA Addendum'!N11</f>
        <v>0</v>
      </c>
    </row>
    <row r="19" spans="1:58" ht="12.95" customHeight="1">
      <c r="BD19" s="1246" t="s">
        <v>2523</v>
      </c>
      <c r="BE19" s="1248">
        <f>Application!M26</f>
        <v>4134913</v>
      </c>
    </row>
    <row r="20" spans="1:58" ht="12.95" customHeight="1">
      <c r="A20" s="1417" t="s">
        <v>874</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c r="AM20" s="1417"/>
      <c r="AN20" s="1417"/>
      <c r="AO20" s="1417"/>
      <c r="AP20" s="1417"/>
      <c r="AQ20" s="1417"/>
      <c r="AR20" s="1417"/>
      <c r="AS20" s="1417"/>
      <c r="AT20" s="1417"/>
      <c r="AU20" s="899"/>
      <c r="AV20" s="899"/>
      <c r="AW20" s="899"/>
      <c r="AX20" s="899"/>
      <c r="AY20" s="899"/>
      <c r="BD20" s="1247" t="s">
        <v>2524</v>
      </c>
      <c r="BE20" s="1248">
        <f>Application!M27</f>
        <v>0</v>
      </c>
    </row>
    <row r="21" spans="1:58" ht="12.95" customHeight="1">
      <c r="A21" s="1426" t="s">
        <v>1010</v>
      </c>
      <c r="B21" s="1426"/>
      <c r="C21" s="1426"/>
      <c r="D21" s="1426"/>
      <c r="E21" s="1426"/>
      <c r="F21" s="1426"/>
      <c r="G21" s="1426"/>
      <c r="H21" s="1426"/>
      <c r="I21" s="1426"/>
      <c r="J21" s="1426"/>
      <c r="K21" s="1426"/>
      <c r="L21" s="1426"/>
      <c r="M21" s="1426"/>
      <c r="N21" s="1426"/>
      <c r="O21" s="1426"/>
      <c r="P21" s="1426"/>
      <c r="Q21" s="1426"/>
      <c r="R21" s="1426"/>
      <c r="S21" s="1426"/>
      <c r="T21" s="1426"/>
      <c r="U21" s="1426"/>
      <c r="V21" s="1426"/>
      <c r="W21" s="1426"/>
      <c r="X21" s="1426"/>
      <c r="Y21" s="1426"/>
      <c r="Z21" s="1426"/>
      <c r="AA21" s="1426"/>
      <c r="AB21" s="1426"/>
      <c r="AC21" s="1426"/>
      <c r="AD21" s="1426"/>
      <c r="AE21" s="1426"/>
      <c r="AF21" s="1426"/>
      <c r="AG21" s="1426"/>
      <c r="AH21" s="1426"/>
      <c r="AI21" s="1426"/>
      <c r="AJ21" s="1426"/>
      <c r="AK21" s="1426"/>
      <c r="AL21" s="1426"/>
      <c r="AM21" s="900"/>
      <c r="AN21" s="900"/>
      <c r="AO21" s="900"/>
      <c r="AP21" s="900"/>
      <c r="AQ21" s="900"/>
      <c r="AR21" s="900"/>
      <c r="AS21" s="900"/>
      <c r="AT21" s="900"/>
      <c r="AU21" s="900"/>
      <c r="AV21" s="900"/>
      <c r="AW21" s="900"/>
      <c r="AX21" s="900"/>
      <c r="AY21" s="900"/>
      <c r="BD21" s="1246" t="s">
        <v>2525</v>
      </c>
      <c r="BE21" s="1248">
        <f>Application!AM554</f>
        <v>44487000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7" t="s">
        <v>283</v>
      </c>
      <c r="BE22" s="1248">
        <f>'Sources and Uses Budget'!B105</f>
        <v>85732835</v>
      </c>
      <c r="BF22" s="3" t="s">
        <v>2598</v>
      </c>
    </row>
    <row r="23" spans="1:58" ht="12.95" customHeight="1">
      <c r="A23" s="1296" t="s">
        <v>2148</v>
      </c>
      <c r="B23" s="1296"/>
      <c r="C23" s="1296"/>
      <c r="D23" s="1296"/>
      <c r="E23" s="1296"/>
      <c r="F23" s="1296"/>
      <c r="G23" s="1296"/>
      <c r="H23" s="1296"/>
      <c r="I23" s="1296"/>
      <c r="J23" s="1296"/>
      <c r="K23" s="1296"/>
      <c r="L23" s="1296"/>
      <c r="M23" s="1296"/>
      <c r="N23" s="1296"/>
      <c r="O23" s="1296"/>
      <c r="P23" s="1296"/>
      <c r="Q23" s="1296"/>
      <c r="R23" s="1296"/>
      <c r="S23" s="1296"/>
      <c r="T23" s="1296"/>
      <c r="U23" s="1296"/>
      <c r="V23" s="1296"/>
      <c r="W23" s="1296"/>
      <c r="X23" s="1296"/>
      <c r="Y23" s="1296"/>
      <c r="Z23" s="1296"/>
      <c r="AA23" s="1296"/>
      <c r="AB23" s="1296"/>
      <c r="AC23" s="1296"/>
      <c r="AD23" s="1296"/>
      <c r="AE23" s="1296"/>
      <c r="AF23" s="1296"/>
      <c r="AG23" s="1296"/>
      <c r="AH23" s="1296"/>
      <c r="AI23" s="1296"/>
      <c r="AJ23" s="1296"/>
      <c r="AK23" s="1296"/>
      <c r="AL23" s="1296"/>
      <c r="AM23" s="1296"/>
      <c r="AN23" s="1296"/>
      <c r="AO23" s="1296"/>
      <c r="AP23" s="1296"/>
      <c r="AQ23" s="1296"/>
      <c r="AR23" s="1296"/>
      <c r="AS23" s="1296"/>
      <c r="AT23" s="1296"/>
      <c r="AU23" s="18"/>
      <c r="AV23" s="18"/>
      <c r="AW23" s="18"/>
      <c r="AX23" s="18"/>
      <c r="AY23" s="18"/>
      <c r="AZ23" s="18"/>
      <c r="BD23" s="1246" t="s">
        <v>2526</v>
      </c>
      <c r="BE23" s="1248">
        <f>'Sources and Uses Budget'!B4</f>
        <v>100</v>
      </c>
    </row>
    <row r="24" spans="1:58" ht="12.95" customHeight="1">
      <c r="A24" s="1296"/>
      <c r="B24" s="1296"/>
      <c r="C24" s="1296"/>
      <c r="D24" s="1296"/>
      <c r="E24" s="1296"/>
      <c r="F24" s="1296"/>
      <c r="G24" s="1296"/>
      <c r="H24" s="1296"/>
      <c r="I24" s="1296"/>
      <c r="J24" s="1296"/>
      <c r="K24" s="1296"/>
      <c r="L24" s="1296"/>
      <c r="M24" s="1296"/>
      <c r="N24" s="1296"/>
      <c r="O24" s="1296"/>
      <c r="P24" s="1296"/>
      <c r="Q24" s="1296"/>
      <c r="R24" s="1296"/>
      <c r="S24" s="1296"/>
      <c r="T24" s="1296"/>
      <c r="U24" s="1296"/>
      <c r="V24" s="1296"/>
      <c r="W24" s="1296"/>
      <c r="X24" s="1296"/>
      <c r="Y24" s="1296"/>
      <c r="Z24" s="1296"/>
      <c r="AA24" s="1296"/>
      <c r="AB24" s="1296"/>
      <c r="AC24" s="1296"/>
      <c r="AD24" s="1296"/>
      <c r="AE24" s="1296"/>
      <c r="AF24" s="1296"/>
      <c r="AG24" s="1296"/>
      <c r="AH24" s="1296"/>
      <c r="AI24" s="1296"/>
      <c r="AJ24" s="1296"/>
      <c r="AK24" s="1296"/>
      <c r="AL24" s="1296"/>
      <c r="AM24" s="1296"/>
      <c r="AN24" s="1296"/>
      <c r="AO24" s="1296"/>
      <c r="AP24" s="1296"/>
      <c r="AQ24" s="1296"/>
      <c r="AR24" s="1296"/>
      <c r="AS24" s="1296"/>
      <c r="AT24" s="1296"/>
      <c r="AU24" s="18"/>
      <c r="AV24" s="18"/>
      <c r="AW24" s="18"/>
      <c r="AX24" s="18"/>
      <c r="AY24" s="18"/>
      <c r="AZ24" s="18"/>
      <c r="BD24" s="1247" t="s">
        <v>2527</v>
      </c>
      <c r="BE24" s="1248">
        <f>Application!AG450</f>
        <v>80984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6" t="s">
        <v>2528</v>
      </c>
      <c r="BE25" s="1248" t="str">
        <f>Application!D208</f>
        <v>40%/60%</v>
      </c>
    </row>
    <row r="26" spans="1:58" ht="12.95" customHeight="1">
      <c r="A26" s="4"/>
      <c r="C26" s="4"/>
      <c r="D26" s="4"/>
      <c r="E26" s="4"/>
      <c r="F26" s="4"/>
      <c r="G26" s="4"/>
      <c r="H26" s="4"/>
      <c r="I26" s="4"/>
      <c r="J26" s="4"/>
      <c r="K26" s="4"/>
      <c r="L26" s="4"/>
      <c r="M26" s="1423">
        <f>'Basis &amp; Credits'!AB56</f>
        <v>4134913</v>
      </c>
      <c r="N26" s="1423"/>
      <c r="O26" s="1423"/>
      <c r="P26" s="1423"/>
      <c r="Q26" s="1423"/>
      <c r="R26" s="4" t="s">
        <v>760</v>
      </c>
      <c r="S26" s="4"/>
      <c r="T26" s="4"/>
      <c r="U26" s="4"/>
      <c r="V26" s="4"/>
      <c r="W26" s="4"/>
      <c r="X26" s="4"/>
      <c r="Y26" s="4"/>
      <c r="Z26" s="4"/>
      <c r="AF26" s="4"/>
      <c r="AG26" s="4"/>
      <c r="AH26" s="4"/>
      <c r="AI26" s="4"/>
      <c r="AJ26" s="4"/>
      <c r="AK26" s="4"/>
      <c r="BD26" s="1247" t="s">
        <v>1640</v>
      </c>
      <c r="BE26" s="1248" t="b">
        <f>Application!M356="Yes"</f>
        <v>0</v>
      </c>
    </row>
    <row r="27" spans="1:58" ht="12.95" customHeight="1">
      <c r="A27" s="4"/>
      <c r="C27" s="4"/>
      <c r="D27" s="4"/>
      <c r="E27" s="4"/>
      <c r="F27" s="4"/>
      <c r="G27" s="4"/>
      <c r="H27" s="4"/>
      <c r="I27" s="4"/>
      <c r="J27" s="4"/>
      <c r="K27" s="4"/>
      <c r="L27" s="4"/>
      <c r="M27" s="1358">
        <f>'Basis &amp; Credits'!AB78</f>
        <v>0</v>
      </c>
      <c r="N27" s="1358"/>
      <c r="O27" s="1358"/>
      <c r="P27" s="1358"/>
      <c r="Q27" s="1358"/>
      <c r="R27" s="3" t="s">
        <v>1268</v>
      </c>
      <c r="S27" s="4"/>
      <c r="T27" s="4"/>
      <c r="U27" s="4"/>
      <c r="V27" s="4"/>
      <c r="W27" s="4"/>
      <c r="X27" s="4"/>
      <c r="Y27" s="4"/>
      <c r="Z27" s="4"/>
      <c r="AF27" s="4"/>
      <c r="AG27" s="4"/>
      <c r="AH27" s="4"/>
      <c r="AI27" s="4"/>
      <c r="AJ27" s="4"/>
      <c r="AK27" s="4"/>
      <c r="BD27" s="1246" t="s">
        <v>2100</v>
      </c>
      <c r="BE27" s="1248"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7" t="s">
        <v>2529</v>
      </c>
      <c r="BE28" s="1248" t="b">
        <f>Application!M357="Yes"</f>
        <v>0</v>
      </c>
    </row>
    <row r="29" spans="1:58" ht="12.95" customHeight="1">
      <c r="A29" s="1418" t="s">
        <v>2149</v>
      </c>
      <c r="B29" s="1418"/>
      <c r="C29" s="1418"/>
      <c r="D29" s="1418"/>
      <c r="E29" s="1418"/>
      <c r="F29" s="1418"/>
      <c r="G29" s="1418"/>
      <c r="H29" s="1418"/>
      <c r="I29" s="1418"/>
      <c r="J29" s="1418"/>
      <c r="K29" s="1418"/>
      <c r="L29" s="1418"/>
      <c r="M29" s="1418"/>
      <c r="N29" s="1418"/>
      <c r="O29" s="1418"/>
      <c r="P29" s="1418"/>
      <c r="Q29" s="1418"/>
      <c r="R29" s="1418"/>
      <c r="S29" s="1418"/>
      <c r="T29" s="1418"/>
      <c r="U29" s="1418"/>
      <c r="V29" s="1418"/>
      <c r="W29" s="1418"/>
      <c r="X29" s="1418"/>
      <c r="Y29" s="1418"/>
      <c r="Z29" s="1418"/>
      <c r="AA29" s="1418"/>
      <c r="AB29" s="1418"/>
      <c r="AC29" s="1418"/>
      <c r="AD29" s="1418"/>
      <c r="AE29" s="1418"/>
      <c r="AF29" s="1418"/>
      <c r="AG29" s="1418"/>
      <c r="AH29" s="1418"/>
      <c r="AI29" s="1418"/>
      <c r="AJ29" s="1418"/>
      <c r="AK29" s="1418"/>
      <c r="AL29" s="1418"/>
      <c r="AM29" s="1418"/>
      <c r="AN29" s="1418"/>
      <c r="AO29" s="1418"/>
      <c r="AP29" s="1418"/>
      <c r="AQ29" s="1418"/>
      <c r="AR29" s="1418"/>
      <c r="AS29" s="1418"/>
      <c r="AT29" s="1418"/>
      <c r="BD29" s="1246" t="s">
        <v>2530</v>
      </c>
      <c r="BE29" s="1248" t="b">
        <f>Application!M358="Yes"</f>
        <v>0</v>
      </c>
    </row>
    <row r="30" spans="1:58" ht="12.95" customHeight="1">
      <c r="A30" s="1418"/>
      <c r="B30" s="1418"/>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418"/>
      <c r="AJ30" s="1418"/>
      <c r="AK30" s="1418"/>
      <c r="AL30" s="1418"/>
      <c r="AM30" s="1418"/>
      <c r="AN30" s="1418"/>
      <c r="AO30" s="1418"/>
      <c r="AP30" s="1418"/>
      <c r="AQ30" s="1418"/>
      <c r="AR30" s="1418"/>
      <c r="AS30" s="1418"/>
      <c r="AT30" s="1418"/>
      <c r="AZ30" s="20"/>
      <c r="BD30" s="1247" t="s">
        <v>28</v>
      </c>
      <c r="BE30" s="1248" t="b">
        <f>Application!AJ355="Yes"</f>
        <v>0</v>
      </c>
    </row>
    <row r="31" spans="1:58" ht="12.95" customHeight="1">
      <c r="A31" s="1418"/>
      <c r="B31" s="1418"/>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418"/>
      <c r="AJ31" s="1418"/>
      <c r="AK31" s="1418"/>
      <c r="AL31" s="1418"/>
      <c r="AM31" s="1418"/>
      <c r="AN31" s="1418"/>
      <c r="AO31" s="1418"/>
      <c r="AP31" s="1418"/>
      <c r="AQ31" s="1418"/>
      <c r="AR31" s="1418"/>
      <c r="AS31" s="1418"/>
      <c r="AT31" s="1418"/>
      <c r="AU31" s="20"/>
      <c r="AV31" s="20"/>
      <c r="AW31" s="20"/>
      <c r="AX31" s="20"/>
      <c r="AY31" s="20"/>
      <c r="AZ31" s="20"/>
      <c r="BD31" s="1246" t="s">
        <v>2531</v>
      </c>
      <c r="BE31" s="1248"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7" t="s">
        <v>2532</v>
      </c>
      <c r="BE32" s="1248">
        <f>IF(ISNUMBER(Application!W465),W465,0)</f>
        <v>75</v>
      </c>
    </row>
    <row r="33" spans="1:57" ht="12.95" customHeight="1">
      <c r="A33" s="518" t="s">
        <v>1279</v>
      </c>
      <c r="C33" s="518"/>
      <c r="D33" s="518"/>
      <c r="E33" s="518"/>
      <c r="F33" s="518"/>
      <c r="G33" s="518"/>
      <c r="H33" s="518"/>
      <c r="I33" s="518"/>
      <c r="J33" s="518"/>
      <c r="K33" s="518"/>
      <c r="L33" s="518"/>
      <c r="M33" s="518"/>
      <c r="N33" s="518"/>
      <c r="O33" s="1336" t="s">
        <v>670</v>
      </c>
      <c r="P33" s="1336"/>
      <c r="Q33" s="1419" t="s">
        <v>2150</v>
      </c>
      <c r="R33" s="1419"/>
      <c r="S33" s="1419"/>
      <c r="T33" s="1419"/>
      <c r="U33" s="1419"/>
      <c r="V33" s="1419"/>
      <c r="W33" s="1419"/>
      <c r="X33" s="1419"/>
      <c r="Y33" s="1419"/>
      <c r="Z33" s="1419"/>
      <c r="AA33" s="1419"/>
      <c r="AB33" s="1419"/>
      <c r="AC33" s="1419"/>
      <c r="AD33" s="1419"/>
      <c r="AE33" s="1419"/>
      <c r="AF33" s="1419"/>
      <c r="AG33" s="1419"/>
      <c r="AH33" s="1419"/>
      <c r="AI33" s="1419"/>
      <c r="AJ33" s="1419"/>
      <c r="AK33" s="1419"/>
      <c r="AL33" s="1419"/>
      <c r="AM33" s="1419"/>
      <c r="AN33" s="1419"/>
      <c r="AO33" s="1419"/>
      <c r="AP33" s="1419"/>
      <c r="AQ33" s="1419"/>
      <c r="AR33" s="1419"/>
      <c r="AS33" s="1419"/>
      <c r="AT33" s="1419"/>
      <c r="AU33" s="20"/>
      <c r="AV33" s="20"/>
      <c r="AW33" s="20"/>
      <c r="AX33" s="20"/>
      <c r="AY33" s="20"/>
      <c r="BD33" s="1246" t="s">
        <v>2599</v>
      </c>
      <c r="BE33" s="1248" t="str">
        <f>Application!D220</f>
        <v>Balance of Los Angeles County</v>
      </c>
    </row>
    <row r="34" spans="1:57" ht="12.95" customHeight="1">
      <c r="A34" s="1418" t="s">
        <v>2151</v>
      </c>
      <c r="B34" s="1418"/>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418"/>
      <c r="AJ34" s="1418"/>
      <c r="AK34" s="1418"/>
      <c r="AL34" s="1418"/>
      <c r="AM34" s="1418"/>
      <c r="AN34" s="1418"/>
      <c r="AO34" s="1418"/>
      <c r="AP34" s="1418"/>
      <c r="AQ34" s="1418"/>
      <c r="AR34" s="1418"/>
      <c r="AS34" s="1418"/>
      <c r="AT34" s="1418"/>
      <c r="AU34" s="20"/>
      <c r="AV34" s="20"/>
      <c r="AW34" s="20"/>
      <c r="AX34" s="20"/>
      <c r="AY34" s="20"/>
      <c r="AZ34" s="20"/>
      <c r="BD34" s="1247" t="s">
        <v>2533</v>
      </c>
      <c r="BE34" s="1248" t="str">
        <f>Application!I185</f>
        <v>1325 N. Mission Road</v>
      </c>
    </row>
    <row r="35" spans="1:57" ht="12.95" customHeight="1">
      <c r="A35" s="1418"/>
      <c r="B35" s="1418"/>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418"/>
      <c r="AJ35" s="1418"/>
      <c r="AK35" s="1418"/>
      <c r="AL35" s="1418"/>
      <c r="AM35" s="1418"/>
      <c r="AN35" s="1418"/>
      <c r="AO35" s="1418"/>
      <c r="AP35" s="1418"/>
      <c r="AQ35" s="1418"/>
      <c r="AR35" s="1418"/>
      <c r="AS35" s="1418"/>
      <c r="AT35" s="1418"/>
      <c r="AU35" s="20"/>
      <c r="AV35" s="20"/>
      <c r="AW35" s="20"/>
      <c r="AX35" s="20"/>
      <c r="AY35" s="20"/>
      <c r="AZ35" s="20"/>
      <c r="BD35" s="1246" t="s">
        <v>2534</v>
      </c>
      <c r="BE35" s="1248" t="str">
        <f>IF(Application!E187="","",Application!E187)</f>
        <v/>
      </c>
    </row>
    <row r="36" spans="1:57" ht="12.95" customHeight="1">
      <c r="A36" s="1418"/>
      <c r="B36" s="1418"/>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418"/>
      <c r="AJ36" s="1418"/>
      <c r="AK36" s="1418"/>
      <c r="AL36" s="1418"/>
      <c r="AM36" s="1418"/>
      <c r="AN36" s="1418"/>
      <c r="AO36" s="1418"/>
      <c r="AP36" s="1418"/>
      <c r="AQ36" s="1418"/>
      <c r="AR36" s="1418"/>
      <c r="AS36" s="1418"/>
      <c r="AT36" s="1418"/>
      <c r="AU36" s="20"/>
      <c r="AV36" s="20"/>
      <c r="AW36" s="20"/>
      <c r="AX36" s="20"/>
      <c r="AY36" s="20"/>
      <c r="AZ36" s="20"/>
      <c r="BD36" s="1247" t="s">
        <v>2535</v>
      </c>
      <c r="BE36" s="1248" t="str">
        <f>Application!I189</f>
        <v>Los Angeles</v>
      </c>
    </row>
    <row r="37" spans="1:57" ht="12.95" customHeight="1">
      <c r="A37" s="1418"/>
      <c r="B37" s="1418"/>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418"/>
      <c r="AJ37" s="1418"/>
      <c r="AK37" s="1418"/>
      <c r="AL37" s="1418"/>
      <c r="AM37" s="1418"/>
      <c r="AN37" s="1418"/>
      <c r="AO37" s="1418"/>
      <c r="AP37" s="1418"/>
      <c r="AQ37" s="1418"/>
      <c r="AR37" s="1418"/>
      <c r="AS37" s="1418"/>
      <c r="AT37" s="1418"/>
      <c r="AZ37" s="20"/>
      <c r="BD37" s="1246" t="s">
        <v>2536</v>
      </c>
      <c r="BE37" s="1248" t="str">
        <f>Application!T189</f>
        <v>Los Angeles</v>
      </c>
    </row>
    <row r="38" spans="1:57" ht="12.95" customHeight="1">
      <c r="A38" s="3"/>
      <c r="AZ38" s="20"/>
      <c r="BD38" s="1247" t="s">
        <v>2537</v>
      </c>
      <c r="BE38" s="1248">
        <f>Application!I190</f>
        <v>90033</v>
      </c>
    </row>
    <row r="39" spans="1:57" ht="12.95" customHeight="1">
      <c r="A39" s="1266" t="s">
        <v>2152</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c r="BD39" s="1246" t="s">
        <v>2538</v>
      </c>
      <c r="BE39" s="1248">
        <f>Application!AG437</f>
        <v>150</v>
      </c>
    </row>
    <row r="40" spans="1:57"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c r="BD40" s="1247" t="s">
        <v>384</v>
      </c>
      <c r="BE40" s="1248">
        <f>Application!AG440</f>
        <v>149</v>
      </c>
    </row>
    <row r="41" spans="1:57"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c r="BD41" s="1246" t="s">
        <v>287</v>
      </c>
      <c r="BE41" s="1248">
        <f>Application!AG438</f>
        <v>0</v>
      </c>
    </row>
    <row r="42" spans="1:57"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c r="BD42" s="1247" t="s">
        <v>2539</v>
      </c>
      <c r="BE42" s="1250">
        <f>Application!AC753</f>
        <v>0.448993288590604</v>
      </c>
    </row>
    <row r="43" spans="1:57"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c r="BD43" s="1246" t="s">
        <v>2540</v>
      </c>
      <c r="BE43" s="1250">
        <f>Application!AH753</f>
        <v>0.448993288590604</v>
      </c>
    </row>
    <row r="44" spans="1:57"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c r="BD44" s="1247" t="s">
        <v>2541</v>
      </c>
      <c r="BE44" s="1248">
        <f>Application!AC454</f>
        <v>571552.23333333328</v>
      </c>
    </row>
    <row r="45" spans="1:57" ht="12.95" customHeight="1">
      <c r="A45" s="518"/>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6" t="s">
        <v>2542</v>
      </c>
      <c r="BE45" s="1248">
        <f>Application!AE424</f>
        <v>1</v>
      </c>
    </row>
    <row r="46" spans="1:57" ht="12.95" customHeight="1">
      <c r="A46" s="1296" t="s">
        <v>2153</v>
      </c>
      <c r="B46" s="1296"/>
      <c r="C46" s="1296"/>
      <c r="D46" s="1296"/>
      <c r="E46" s="1296"/>
      <c r="F46" s="1296"/>
      <c r="G46" s="1296"/>
      <c r="H46" s="1296"/>
      <c r="I46" s="1296"/>
      <c r="J46" s="1296"/>
      <c r="K46" s="1296"/>
      <c r="L46" s="1296"/>
      <c r="M46" s="1296"/>
      <c r="N46" s="1296"/>
      <c r="O46" s="1296"/>
      <c r="P46" s="1296"/>
      <c r="Q46" s="1296"/>
      <c r="R46" s="1296"/>
      <c r="S46" s="1296"/>
      <c r="T46" s="1296"/>
      <c r="U46" s="1296"/>
      <c r="V46" s="1296"/>
      <c r="W46" s="1296"/>
      <c r="X46" s="1296"/>
      <c r="Y46" s="1296"/>
      <c r="Z46" s="1296"/>
      <c r="AA46" s="1296"/>
      <c r="AB46" s="1296"/>
      <c r="AC46" s="1296"/>
      <c r="AD46" s="1296"/>
      <c r="AE46" s="1296"/>
      <c r="AF46" s="1296"/>
      <c r="AG46" s="1296"/>
      <c r="AH46" s="1296"/>
      <c r="AI46" s="1296"/>
      <c r="AJ46" s="1296"/>
      <c r="AK46" s="1296"/>
      <c r="AL46" s="1296"/>
      <c r="AM46" s="1296"/>
      <c r="AN46" s="1296"/>
      <c r="AO46" s="1296"/>
      <c r="AP46" s="1296"/>
      <c r="AQ46" s="1296"/>
      <c r="AR46" s="1296"/>
      <c r="AS46" s="1296"/>
      <c r="AT46" s="1296"/>
      <c r="AU46" s="20"/>
      <c r="AV46" s="20"/>
      <c r="AW46" s="20"/>
      <c r="AX46" s="20"/>
      <c r="AY46" s="20"/>
      <c r="AZ46" s="20"/>
      <c r="BD46" s="1247" t="s">
        <v>2543</v>
      </c>
      <c r="BE46" s="1248" t="b">
        <f>Application!T195="Yes"</f>
        <v>0</v>
      </c>
    </row>
    <row r="47" spans="1:57" ht="12.95" customHeight="1">
      <c r="A47" s="1296"/>
      <c r="B47" s="1296"/>
      <c r="C47" s="1296"/>
      <c r="D47" s="1296"/>
      <c r="E47" s="1296"/>
      <c r="F47" s="1296"/>
      <c r="G47" s="1296"/>
      <c r="H47" s="1296"/>
      <c r="I47" s="1296"/>
      <c r="J47" s="1296"/>
      <c r="K47" s="1296"/>
      <c r="L47" s="1296"/>
      <c r="M47" s="1296"/>
      <c r="N47" s="1296"/>
      <c r="O47" s="1296"/>
      <c r="P47" s="1296"/>
      <c r="Q47" s="1296"/>
      <c r="R47" s="1296"/>
      <c r="S47" s="1296"/>
      <c r="T47" s="1296"/>
      <c r="U47" s="1296"/>
      <c r="V47" s="1296"/>
      <c r="W47" s="1296"/>
      <c r="X47" s="1296"/>
      <c r="Y47" s="1296"/>
      <c r="Z47" s="1296"/>
      <c r="AA47" s="1296"/>
      <c r="AB47" s="1296"/>
      <c r="AC47" s="1296"/>
      <c r="AD47" s="1296"/>
      <c r="AE47" s="1296"/>
      <c r="AF47" s="1296"/>
      <c r="AG47" s="1296"/>
      <c r="AH47" s="1296"/>
      <c r="AI47" s="1296"/>
      <c r="AJ47" s="1296"/>
      <c r="AK47" s="1296"/>
      <c r="AL47" s="1296"/>
      <c r="AM47" s="1296"/>
      <c r="AN47" s="1296"/>
      <c r="AO47" s="1296"/>
      <c r="AP47" s="1296"/>
      <c r="AQ47" s="1296"/>
      <c r="AR47" s="1296"/>
      <c r="AS47" s="1296"/>
      <c r="AT47" s="1296"/>
      <c r="AU47" s="20"/>
      <c r="AV47" s="20"/>
      <c r="AW47" s="20"/>
      <c r="AX47" s="20"/>
      <c r="AY47" s="20"/>
      <c r="AZ47" s="20"/>
      <c r="BD47" s="1246" t="s">
        <v>2544</v>
      </c>
      <c r="BE47" s="1248" t="b">
        <f>Application!T196="Yes"</f>
        <v>1</v>
      </c>
    </row>
    <row r="48" spans="1:57" ht="12.95" customHeight="1">
      <c r="A48" s="1296"/>
      <c r="B48" s="1296"/>
      <c r="C48" s="1296"/>
      <c r="D48" s="1296"/>
      <c r="E48" s="1296"/>
      <c r="F48" s="1296"/>
      <c r="G48" s="1296"/>
      <c r="H48" s="1296"/>
      <c r="I48" s="1296"/>
      <c r="J48" s="1296"/>
      <c r="K48" s="1296"/>
      <c r="L48" s="1296"/>
      <c r="M48" s="1296"/>
      <c r="N48" s="1296"/>
      <c r="O48" s="1296"/>
      <c r="P48" s="1296"/>
      <c r="Q48" s="1296"/>
      <c r="R48" s="1296"/>
      <c r="S48" s="1296"/>
      <c r="T48" s="1296"/>
      <c r="U48" s="1296"/>
      <c r="V48" s="1296"/>
      <c r="W48" s="1296"/>
      <c r="X48" s="1296"/>
      <c r="Y48" s="1296"/>
      <c r="Z48" s="1296"/>
      <c r="AA48" s="1296"/>
      <c r="AB48" s="1296"/>
      <c r="AC48" s="1296"/>
      <c r="AD48" s="1296"/>
      <c r="AE48" s="1296"/>
      <c r="AF48" s="1296"/>
      <c r="AG48" s="1296"/>
      <c r="AH48" s="1296"/>
      <c r="AI48" s="1296"/>
      <c r="AJ48" s="1296"/>
      <c r="AK48" s="1296"/>
      <c r="AL48" s="1296"/>
      <c r="AM48" s="1296"/>
      <c r="AN48" s="1296"/>
      <c r="AO48" s="1296"/>
      <c r="AP48" s="1296"/>
      <c r="AQ48" s="1296"/>
      <c r="AR48" s="1296"/>
      <c r="AS48" s="1296"/>
      <c r="AT48" s="1296"/>
      <c r="AU48" s="20"/>
      <c r="AV48" s="20"/>
      <c r="AW48" s="20"/>
      <c r="AX48" s="20"/>
      <c r="AY48" s="20"/>
      <c r="AZ48" s="20"/>
      <c r="BD48" s="1247" t="s">
        <v>2545</v>
      </c>
      <c r="BE48" s="1248" t="str">
        <f>Application!M243</f>
        <v>To-Be-Formed LLC with CADI as sole GP</v>
      </c>
    </row>
    <row r="49" spans="1:57" ht="12.95" customHeight="1">
      <c r="A49" s="1296"/>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c r="X49" s="1296"/>
      <c r="Y49" s="1296"/>
      <c r="Z49" s="1296"/>
      <c r="AA49" s="1296"/>
      <c r="AB49" s="1296"/>
      <c r="AC49" s="1296"/>
      <c r="AD49" s="1296"/>
      <c r="AE49" s="1296"/>
      <c r="AF49" s="1296"/>
      <c r="AG49" s="1296"/>
      <c r="AH49" s="1296"/>
      <c r="AI49" s="1296"/>
      <c r="AJ49" s="1296"/>
      <c r="AK49" s="1296"/>
      <c r="AL49" s="1296"/>
      <c r="AM49" s="1296"/>
      <c r="AN49" s="1296"/>
      <c r="AO49" s="1296"/>
      <c r="AP49" s="1296"/>
      <c r="AQ49" s="1296"/>
      <c r="AR49" s="1296"/>
      <c r="AS49" s="1296"/>
      <c r="AT49" s="1296"/>
      <c r="AU49" s="20"/>
      <c r="AV49" s="20"/>
      <c r="AW49" s="20"/>
      <c r="AX49" s="20"/>
      <c r="AY49" s="20"/>
      <c r="AZ49" s="20"/>
      <c r="BD49" s="1246" t="s">
        <v>2546</v>
      </c>
      <c r="BE49" s="1248" t="str">
        <f>Application!M246</f>
        <v>Oscar Alvarado</v>
      </c>
    </row>
    <row r="50" spans="1:57" ht="12.95" customHeight="1">
      <c r="A50" s="454"/>
      <c r="B50" s="454"/>
      <c r="C50" s="454"/>
      <c r="D50" s="454"/>
      <c r="E50" s="454"/>
      <c r="F50" s="454"/>
      <c r="G50" s="454"/>
      <c r="H50" s="454"/>
      <c r="I50" s="454"/>
      <c r="J50" s="454"/>
      <c r="K50" s="454"/>
      <c r="L50" s="454"/>
      <c r="M50" s="454"/>
      <c r="N50" s="454"/>
      <c r="O50" s="454"/>
      <c r="P50" s="454"/>
      <c r="Q50" s="454"/>
      <c r="R50" s="454"/>
      <c r="S50" s="454"/>
      <c r="T50" s="454"/>
      <c r="U50" s="454"/>
      <c r="V50" s="454"/>
      <c r="W50" s="454"/>
      <c r="X50" s="454"/>
      <c r="Y50" s="454"/>
      <c r="Z50" s="454"/>
      <c r="AA50" s="454"/>
      <c r="AB50" s="454"/>
      <c r="AC50" s="454"/>
      <c r="AD50" s="454"/>
      <c r="AE50" s="454"/>
      <c r="AF50" s="454"/>
      <c r="AG50" s="454"/>
      <c r="AH50" s="454"/>
      <c r="AI50" s="454"/>
      <c r="AJ50" s="454"/>
      <c r="AK50" s="454"/>
      <c r="AL50" s="454"/>
      <c r="AM50" s="454"/>
      <c r="AN50" s="454"/>
      <c r="AO50" s="454"/>
      <c r="AP50" s="454"/>
      <c r="AQ50" s="454"/>
      <c r="AR50" s="454"/>
      <c r="AS50" s="454"/>
      <c r="AT50" s="454"/>
      <c r="AU50" s="20"/>
      <c r="AV50" s="20"/>
      <c r="AW50" s="20"/>
      <c r="AX50" s="20"/>
      <c r="AY50" s="20"/>
      <c r="AZ50" s="20"/>
      <c r="BD50" s="1247" t="s">
        <v>2547</v>
      </c>
      <c r="BE50" s="1248" t="str">
        <f>Application!AA249</f>
        <v>Century Affordable Development, Inc.</v>
      </c>
    </row>
    <row r="51" spans="1:57" ht="12.95" customHeight="1">
      <c r="A51" s="1266" t="s">
        <v>2154</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c r="BD51" s="1246" t="s">
        <v>2548</v>
      </c>
      <c r="BE51" s="1248" t="str">
        <f>Application!M251</f>
        <v>N/A</v>
      </c>
    </row>
    <row r="52" spans="1:57"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c r="BD52" s="1247" t="s">
        <v>2549</v>
      </c>
      <c r="BE52" s="1248">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6" t="s">
        <v>2550</v>
      </c>
      <c r="BE53" s="1248">
        <f>Application!AA257</f>
        <v>0</v>
      </c>
    </row>
    <row r="54" spans="1:57" ht="12.95" customHeight="1">
      <c r="A54" s="1266" t="s">
        <v>2155</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c r="BD54" s="1247" t="s">
        <v>2551</v>
      </c>
      <c r="BE54" s="1248" t="str">
        <f>Application!M259</f>
        <v>N/A</v>
      </c>
    </row>
    <row r="55" spans="1:57"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c r="BD55" s="1246" t="s">
        <v>2552</v>
      </c>
      <c r="BE55" s="1248">
        <f>Application!M262</f>
        <v>0</v>
      </c>
    </row>
    <row r="56" spans="1:57"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c r="BD56" s="1247" t="s">
        <v>2553</v>
      </c>
      <c r="BE56" s="1248">
        <f>Application!AA265</f>
        <v>0</v>
      </c>
    </row>
    <row r="57" spans="1:57"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c r="BD57" s="1246" t="s">
        <v>2554</v>
      </c>
      <c r="BE57" s="1248" t="str">
        <f>Application!H287</f>
        <v xml:space="preserve">Century Affordable Development, Inc. </v>
      </c>
    </row>
    <row r="58" spans="1:57"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c r="BD58" s="1247" t="s">
        <v>2555</v>
      </c>
      <c r="BE58" s="1248" t="str">
        <f>Application!H288</f>
        <v>1000 Corporate Pointe</v>
      </c>
    </row>
    <row r="59" spans="1:57" ht="12.95" customHeight="1">
      <c r="A59" s="518"/>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6" t="s">
        <v>2556</v>
      </c>
      <c r="BE59" s="1248" t="str">
        <f>Application!H289</f>
        <v>Culver City, CA 90230</v>
      </c>
    </row>
    <row r="60" spans="1:57" ht="12.95" customHeight="1">
      <c r="A60" s="1266" t="s">
        <v>2156</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c r="BD60" s="1247" t="s">
        <v>2557</v>
      </c>
      <c r="BE60" s="1248" t="str">
        <f>Application!H290</f>
        <v>Oscar Alvarado</v>
      </c>
    </row>
    <row r="61" spans="1:57"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c r="BD61" s="1246" t="s">
        <v>2558</v>
      </c>
      <c r="BE61" s="1248" t="str">
        <f>Application!H293</f>
        <v>oalvarado@century.org</v>
      </c>
    </row>
    <row r="62" spans="1:57" ht="12.95" customHeight="1">
      <c r="A62" s="518"/>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7" t="s">
        <v>2559</v>
      </c>
      <c r="BE62" s="1251">
        <f>'Basis &amp; Credits'!AB50</f>
        <v>0.86537474911805878</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6" t="s">
        <v>1251</v>
      </c>
      <c r="BE63" s="1251">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7" t="s">
        <v>2560</v>
      </c>
      <c r="BE64" s="1248" t="str">
        <f>Application!X180</f>
        <v>No</v>
      </c>
    </row>
    <row r="65" spans="1:57" ht="12.95" customHeight="1">
      <c r="A65" s="1420" t="s">
        <v>2158</v>
      </c>
      <c r="B65" s="1420"/>
      <c r="C65" s="1420"/>
      <c r="D65" s="1420"/>
      <c r="E65" s="1420"/>
      <c r="F65" s="1420"/>
      <c r="G65" s="1420"/>
      <c r="H65" s="1420"/>
      <c r="I65" s="1420"/>
      <c r="J65" s="1420"/>
      <c r="K65" s="1420"/>
      <c r="L65" s="1420"/>
      <c r="M65" s="1420"/>
      <c r="N65" s="1420"/>
      <c r="O65" s="1420"/>
      <c r="P65" s="1420"/>
      <c r="Q65" s="1420"/>
      <c r="R65" s="1420"/>
      <c r="S65" s="1420"/>
      <c r="T65" s="1420"/>
      <c r="U65" s="1420"/>
      <c r="V65" s="1420"/>
      <c r="W65" s="1420"/>
      <c r="X65" s="1420"/>
      <c r="Y65" s="1420"/>
      <c r="Z65" s="1420"/>
      <c r="AA65" s="1420"/>
      <c r="AB65" s="1420"/>
      <c r="AC65" s="1420"/>
      <c r="AD65" s="1420"/>
      <c r="AE65" s="1420"/>
      <c r="AF65" s="1420"/>
      <c r="AG65" s="1420"/>
      <c r="AH65" s="1420"/>
      <c r="AI65" s="1420"/>
      <c r="AJ65" s="1420"/>
      <c r="AK65" s="1420"/>
      <c r="AL65" s="1420"/>
      <c r="AM65" s="1420"/>
      <c r="AN65" s="1420"/>
      <c r="AO65" s="1420"/>
      <c r="AP65" s="1420"/>
      <c r="AQ65" s="1420"/>
      <c r="AR65" s="1420"/>
      <c r="AS65" s="1420"/>
      <c r="AT65" s="1420"/>
      <c r="AU65" s="21"/>
      <c r="AV65" s="21"/>
      <c r="AW65" s="21"/>
      <c r="AX65" s="21"/>
      <c r="AY65" s="21"/>
      <c r="AZ65" s="20"/>
      <c r="BD65" s="1246" t="s">
        <v>2596</v>
      </c>
      <c r="BE65" s="1248" t="str">
        <f>Z205</f>
        <v>(select)</v>
      </c>
    </row>
    <row r="66" spans="1:57" ht="12.95" customHeight="1">
      <c r="A66" s="1420"/>
      <c r="B66" s="1420"/>
      <c r="C66" s="1420"/>
      <c r="D66" s="1420"/>
      <c r="E66" s="1420"/>
      <c r="F66" s="1420"/>
      <c r="G66" s="1420"/>
      <c r="H66" s="1420"/>
      <c r="I66" s="1420"/>
      <c r="J66" s="1420"/>
      <c r="K66" s="1420"/>
      <c r="L66" s="1420"/>
      <c r="M66" s="1420"/>
      <c r="N66" s="1420"/>
      <c r="O66" s="1420"/>
      <c r="P66" s="1420"/>
      <c r="Q66" s="1420"/>
      <c r="R66" s="1420"/>
      <c r="S66" s="1420"/>
      <c r="T66" s="1420"/>
      <c r="U66" s="1420"/>
      <c r="V66" s="1420"/>
      <c r="W66" s="1420"/>
      <c r="X66" s="1420"/>
      <c r="Y66" s="1420"/>
      <c r="Z66" s="1420"/>
      <c r="AA66" s="1420"/>
      <c r="AB66" s="1420"/>
      <c r="AC66" s="1420"/>
      <c r="AD66" s="1420"/>
      <c r="AE66" s="1420"/>
      <c r="AF66" s="1420"/>
      <c r="AG66" s="1420"/>
      <c r="AH66" s="1420"/>
      <c r="AI66" s="1420"/>
      <c r="AJ66" s="1420"/>
      <c r="AK66" s="1420"/>
      <c r="AL66" s="1420"/>
      <c r="AM66" s="1420"/>
      <c r="AN66" s="1420"/>
      <c r="AO66" s="1420"/>
      <c r="AP66" s="1420"/>
      <c r="AQ66" s="1420"/>
      <c r="AR66" s="1420"/>
      <c r="AS66" s="1420"/>
      <c r="AT66" s="1420"/>
      <c r="AU66" s="21"/>
      <c r="AV66" s="21"/>
      <c r="AW66" s="21"/>
      <c r="AX66" s="21"/>
      <c r="AY66" s="21"/>
      <c r="AZ66" s="20"/>
      <c r="BD66" s="1247" t="s">
        <v>2561</v>
      </c>
      <c r="BE66" s="1248" t="b">
        <f>Application!Z205="State Farmworker Credit"</f>
        <v>0</v>
      </c>
    </row>
    <row r="67" spans="1:57" ht="12.95" customHeight="1">
      <c r="A67" s="1420"/>
      <c r="B67" s="1420"/>
      <c r="C67" s="1420"/>
      <c r="D67" s="1420"/>
      <c r="E67" s="1420"/>
      <c r="F67" s="1420"/>
      <c r="G67" s="1420"/>
      <c r="H67" s="1420"/>
      <c r="I67" s="1420"/>
      <c r="J67" s="1420"/>
      <c r="K67" s="1420"/>
      <c r="L67" s="1420"/>
      <c r="M67" s="1420"/>
      <c r="N67" s="1420"/>
      <c r="O67" s="1420"/>
      <c r="P67" s="1420"/>
      <c r="Q67" s="1420"/>
      <c r="R67" s="1420"/>
      <c r="S67" s="1420"/>
      <c r="T67" s="1420"/>
      <c r="U67" s="1420"/>
      <c r="V67" s="1420"/>
      <c r="W67" s="1420"/>
      <c r="X67" s="1420"/>
      <c r="Y67" s="1420"/>
      <c r="Z67" s="1420"/>
      <c r="AA67" s="1420"/>
      <c r="AB67" s="1420"/>
      <c r="AC67" s="1420"/>
      <c r="AD67" s="1420"/>
      <c r="AE67" s="1420"/>
      <c r="AF67" s="1420"/>
      <c r="AG67" s="1420"/>
      <c r="AH67" s="1420"/>
      <c r="AI67" s="1420"/>
      <c r="AJ67" s="1420"/>
      <c r="AK67" s="1420"/>
      <c r="AL67" s="1420"/>
      <c r="AM67" s="1420"/>
      <c r="AN67" s="1420"/>
      <c r="AO67" s="1420"/>
      <c r="AP67" s="1420"/>
      <c r="AQ67" s="1420"/>
      <c r="AR67" s="1420"/>
      <c r="AS67" s="1420"/>
      <c r="AT67" s="1420"/>
      <c r="AZ67" s="20"/>
      <c r="BD67" s="1246" t="s">
        <v>2562</v>
      </c>
      <c r="BE67" s="1248"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7" t="s">
        <v>2563</v>
      </c>
      <c r="BE68" s="1248">
        <f>'Sources and Uses Budget'!D105</f>
        <v>1369621</v>
      </c>
    </row>
    <row r="69" spans="1:57" ht="12.95" customHeight="1">
      <c r="A69" s="1420" t="s">
        <v>2159</v>
      </c>
      <c r="B69" s="1420"/>
      <c r="C69" s="1420"/>
      <c r="D69" s="1420"/>
      <c r="E69" s="1420"/>
      <c r="F69" s="1420"/>
      <c r="G69" s="1420"/>
      <c r="H69" s="1420"/>
      <c r="I69" s="1420"/>
      <c r="J69" s="1420"/>
      <c r="K69" s="1420"/>
      <c r="L69" s="1420"/>
      <c r="M69" s="1420"/>
      <c r="N69" s="1420"/>
      <c r="O69" s="1420"/>
      <c r="P69" s="1420"/>
      <c r="Q69" s="1420"/>
      <c r="R69" s="1420"/>
      <c r="S69" s="1420"/>
      <c r="T69" s="1420"/>
      <c r="U69" s="1420"/>
      <c r="V69" s="1420"/>
      <c r="W69" s="1420"/>
      <c r="X69" s="1420"/>
      <c r="Y69" s="1420"/>
      <c r="Z69" s="1420"/>
      <c r="AA69" s="1420"/>
      <c r="AB69" s="1420"/>
      <c r="AC69" s="1420"/>
      <c r="AD69" s="1420"/>
      <c r="AE69" s="1420"/>
      <c r="AF69" s="1420"/>
      <c r="AG69" s="1420"/>
      <c r="AH69" s="1420"/>
      <c r="AI69" s="1420"/>
      <c r="AJ69" s="1420"/>
      <c r="AK69" s="1420"/>
      <c r="AL69" s="1420"/>
      <c r="AM69" s="1420"/>
      <c r="AN69" s="1420"/>
      <c r="AO69" s="1420"/>
      <c r="AP69" s="1420"/>
      <c r="AQ69" s="1420"/>
      <c r="AR69" s="1420"/>
      <c r="AS69" s="1420"/>
      <c r="AT69" s="1420"/>
      <c r="AZ69" s="20"/>
      <c r="BD69" s="1246" t="s">
        <v>2564</v>
      </c>
      <c r="BE69" s="1248" t="str">
        <f>Application!W700</f>
        <v>Los Angeles County Development Authority</v>
      </c>
    </row>
    <row r="70" spans="1:57" ht="12.95" customHeight="1">
      <c r="A70" s="1420"/>
      <c r="B70" s="1420"/>
      <c r="C70" s="1420"/>
      <c r="D70" s="1420"/>
      <c r="E70" s="1420"/>
      <c r="F70" s="1420"/>
      <c r="G70" s="1420"/>
      <c r="H70" s="1420"/>
      <c r="I70" s="1420"/>
      <c r="J70" s="1420"/>
      <c r="K70" s="1420"/>
      <c r="L70" s="1420"/>
      <c r="M70" s="1420"/>
      <c r="N70" s="1420"/>
      <c r="O70" s="1420"/>
      <c r="P70" s="1420"/>
      <c r="Q70" s="1420"/>
      <c r="R70" s="1420"/>
      <c r="S70" s="1420"/>
      <c r="T70" s="1420"/>
      <c r="U70" s="1420"/>
      <c r="V70" s="1420"/>
      <c r="W70" s="1420"/>
      <c r="X70" s="1420"/>
      <c r="Y70" s="1420"/>
      <c r="Z70" s="1420"/>
      <c r="AA70" s="1420"/>
      <c r="AB70" s="1420"/>
      <c r="AC70" s="1420"/>
      <c r="AD70" s="1420"/>
      <c r="AE70" s="1420"/>
      <c r="AF70" s="1420"/>
      <c r="AG70" s="1420"/>
      <c r="AH70" s="1420"/>
      <c r="AI70" s="1420"/>
      <c r="AJ70" s="1420"/>
      <c r="AK70" s="1420"/>
      <c r="AL70" s="1420"/>
      <c r="AM70" s="1420"/>
      <c r="AN70" s="1420"/>
      <c r="AO70" s="1420"/>
      <c r="AP70" s="1420"/>
      <c r="AQ70" s="1420"/>
      <c r="AR70" s="1420"/>
      <c r="AS70" s="1420"/>
      <c r="AT70" s="1420"/>
      <c r="AU70" s="20"/>
      <c r="AV70" s="20"/>
      <c r="AW70" s="20"/>
      <c r="AX70" s="20"/>
      <c r="AY70" s="20"/>
      <c r="AZ70" s="20"/>
      <c r="BD70" s="1247" t="s">
        <v>2565</v>
      </c>
      <c r="BE70" s="1248">
        <f>'Points System'!AF821</f>
        <v>119</v>
      </c>
    </row>
    <row r="71" spans="1:57" ht="12.95" customHeight="1">
      <c r="A71" s="518"/>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6" t="s">
        <v>2566</v>
      </c>
      <c r="BE71" s="1248">
        <f>'Points System'!AF804</f>
        <v>0</v>
      </c>
    </row>
    <row r="72" spans="1:57" ht="12.95" customHeight="1">
      <c r="A72" s="1418" t="s">
        <v>2160</v>
      </c>
      <c r="B72" s="1418"/>
      <c r="C72" s="1418"/>
      <c r="D72" s="1418"/>
      <c r="E72" s="1418"/>
      <c r="F72" s="1418"/>
      <c r="G72" s="1418"/>
      <c r="H72" s="1418"/>
      <c r="I72" s="1418"/>
      <c r="J72" s="1418"/>
      <c r="K72" s="1418"/>
      <c r="L72" s="1418"/>
      <c r="M72" s="1418"/>
      <c r="N72" s="1418"/>
      <c r="O72" s="1418"/>
      <c r="P72" s="1418"/>
      <c r="Q72" s="1418"/>
      <c r="R72" s="1418"/>
      <c r="S72" s="1418"/>
      <c r="T72" s="1418"/>
      <c r="U72" s="1418"/>
      <c r="V72" s="1418"/>
      <c r="W72" s="1418"/>
      <c r="X72" s="1418"/>
      <c r="Y72" s="1418"/>
      <c r="Z72" s="1418"/>
      <c r="AA72" s="1418"/>
      <c r="AB72" s="1418"/>
      <c r="AC72" s="1418"/>
      <c r="AD72" s="1418"/>
      <c r="AE72" s="1418"/>
      <c r="AF72" s="1418"/>
      <c r="AG72" s="1418"/>
      <c r="AH72" s="1418"/>
      <c r="AI72" s="1418"/>
      <c r="AJ72" s="1418"/>
      <c r="AK72" s="1418"/>
      <c r="AL72" s="1418"/>
      <c r="AM72" s="1418"/>
      <c r="AN72" s="1418"/>
      <c r="AO72" s="1418"/>
      <c r="AP72" s="1418"/>
      <c r="AQ72" s="1418"/>
      <c r="AR72" s="1418"/>
      <c r="AS72" s="1418"/>
      <c r="AT72" s="1418"/>
      <c r="AU72" s="20"/>
      <c r="AV72" s="20"/>
      <c r="AW72" s="20"/>
      <c r="AX72" s="20"/>
      <c r="AY72" s="20"/>
      <c r="AZ72" s="20"/>
      <c r="BD72" s="1247" t="s">
        <v>2567</v>
      </c>
      <c r="BE72" s="1248">
        <f>'Points System'!AF805</f>
        <v>10</v>
      </c>
    </row>
    <row r="73" spans="1:57" ht="12.95" customHeight="1">
      <c r="A73" s="1418"/>
      <c r="B73" s="1418"/>
      <c r="C73" s="1418"/>
      <c r="D73" s="1418"/>
      <c r="E73" s="1418"/>
      <c r="F73" s="1418"/>
      <c r="G73" s="1418"/>
      <c r="H73" s="1418"/>
      <c r="I73" s="1418"/>
      <c r="J73" s="1418"/>
      <c r="K73" s="1418"/>
      <c r="L73" s="1418"/>
      <c r="M73" s="1418"/>
      <c r="N73" s="1418"/>
      <c r="O73" s="1418"/>
      <c r="P73" s="1418"/>
      <c r="Q73" s="1418"/>
      <c r="R73" s="1418"/>
      <c r="S73" s="1418"/>
      <c r="T73" s="1418"/>
      <c r="U73" s="1418"/>
      <c r="V73" s="1418"/>
      <c r="W73" s="1418"/>
      <c r="X73" s="1418"/>
      <c r="Y73" s="1418"/>
      <c r="Z73" s="1418"/>
      <c r="AA73" s="1418"/>
      <c r="AB73" s="1418"/>
      <c r="AC73" s="1418"/>
      <c r="AD73" s="1418"/>
      <c r="AE73" s="1418"/>
      <c r="AF73" s="1418"/>
      <c r="AG73" s="1418"/>
      <c r="AH73" s="1418"/>
      <c r="AI73" s="1418"/>
      <c r="AJ73" s="1418"/>
      <c r="AK73" s="1418"/>
      <c r="AL73" s="1418"/>
      <c r="AM73" s="1418"/>
      <c r="AN73" s="1418"/>
      <c r="AO73" s="1418"/>
      <c r="AP73" s="1418"/>
      <c r="AQ73" s="1418"/>
      <c r="AR73" s="1418"/>
      <c r="AS73" s="1418"/>
      <c r="AT73" s="1418"/>
      <c r="AU73" s="20"/>
      <c r="AV73" s="20"/>
      <c r="AW73" s="20"/>
      <c r="AX73" s="20"/>
      <c r="AY73" s="20"/>
      <c r="AZ73" s="20"/>
      <c r="BD73" s="1246" t="s">
        <v>2568</v>
      </c>
      <c r="BE73" s="1248">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7" t="s">
        <v>2569</v>
      </c>
      <c r="BE74" s="1248">
        <f>'Points System'!AF807</f>
        <v>10</v>
      </c>
    </row>
    <row r="75" spans="1:57" ht="12.95" customHeight="1">
      <c r="A75" s="1799" t="s">
        <v>2161</v>
      </c>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c r="AI75" s="1799"/>
      <c r="AJ75" s="1799"/>
      <c r="AK75" s="1799"/>
      <c r="AL75" s="1799"/>
      <c r="AM75" s="1799"/>
      <c r="AN75" s="1799"/>
      <c r="AO75" s="1799"/>
      <c r="AP75" s="1799"/>
      <c r="AQ75" s="1799"/>
      <c r="AR75" s="1799"/>
      <c r="AS75" s="1799"/>
      <c r="AT75" s="1799"/>
      <c r="AU75" s="20"/>
      <c r="AV75" s="20"/>
      <c r="AW75" s="20"/>
      <c r="AX75" s="20"/>
      <c r="AY75" s="20"/>
      <c r="AZ75" s="20"/>
      <c r="BD75" s="1246" t="s">
        <v>2570</v>
      </c>
      <c r="BE75" s="1248">
        <f>'Points System'!AF808</f>
        <v>10</v>
      </c>
    </row>
    <row r="76" spans="1:57" ht="12.9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c r="AI76" s="1799"/>
      <c r="AJ76" s="1799"/>
      <c r="AK76" s="1799"/>
      <c r="AL76" s="1799"/>
      <c r="AM76" s="1799"/>
      <c r="AN76" s="1799"/>
      <c r="AO76" s="1799"/>
      <c r="AP76" s="1799"/>
      <c r="AQ76" s="1799"/>
      <c r="AR76" s="1799"/>
      <c r="AS76" s="1799"/>
      <c r="AT76" s="1799"/>
      <c r="AU76" s="20"/>
      <c r="AV76" s="20"/>
      <c r="AW76" s="20"/>
      <c r="AX76" s="20"/>
      <c r="AY76" s="20"/>
      <c r="AZ76" s="17"/>
      <c r="BD76" s="1247" t="s">
        <v>2571</v>
      </c>
      <c r="BE76" s="1248">
        <f>'Points System'!AF811</f>
        <v>10</v>
      </c>
    </row>
    <row r="77" spans="1:57" ht="12.9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c r="AI77" s="1799"/>
      <c r="AJ77" s="1799"/>
      <c r="AK77" s="1799"/>
      <c r="AL77" s="1799"/>
      <c r="AM77" s="1799"/>
      <c r="AN77" s="1799"/>
      <c r="AO77" s="1799"/>
      <c r="AP77" s="1799"/>
      <c r="AQ77" s="1799"/>
      <c r="AR77" s="1799"/>
      <c r="AS77" s="1799"/>
      <c r="AT77" s="1799"/>
      <c r="AU77" s="20"/>
      <c r="AV77" s="20"/>
      <c r="AW77" s="20"/>
      <c r="AX77" s="20"/>
      <c r="AY77" s="20"/>
      <c r="AZ77" s="17"/>
      <c r="BD77" s="1246" t="s">
        <v>2572</v>
      </c>
      <c r="BE77" s="1248">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7" t="s">
        <v>2573</v>
      </c>
      <c r="BE78" s="1248">
        <f>'Points System'!AF814</f>
        <v>10</v>
      </c>
    </row>
    <row r="79" spans="1:57" ht="12.95" customHeight="1">
      <c r="A79" s="1420" t="s">
        <v>2162</v>
      </c>
      <c r="B79" s="1420"/>
      <c r="C79" s="1420"/>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420"/>
      <c r="AJ79" s="1420"/>
      <c r="AK79" s="1420"/>
      <c r="AL79" s="1420"/>
      <c r="AM79" s="1420"/>
      <c r="AN79" s="1420"/>
      <c r="AO79" s="1420"/>
      <c r="AP79" s="1420"/>
      <c r="AQ79" s="1420"/>
      <c r="AR79" s="1420"/>
      <c r="AS79" s="1420"/>
      <c r="AT79" s="1420"/>
      <c r="AU79" s="20"/>
      <c r="AV79" s="20"/>
      <c r="AW79" s="20"/>
      <c r="AX79" s="20"/>
      <c r="AY79" s="20"/>
      <c r="AZ79" s="20"/>
      <c r="BD79" s="1246" t="s">
        <v>2574</v>
      </c>
      <c r="BE79" s="1248">
        <f>'Points System'!AF815</f>
        <v>9</v>
      </c>
    </row>
    <row r="80" spans="1:57" ht="12.95" customHeight="1">
      <c r="A80" s="1420"/>
      <c r="B80" s="1420"/>
      <c r="C80" s="1420"/>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420"/>
      <c r="AJ80" s="1420"/>
      <c r="AK80" s="1420"/>
      <c r="AL80" s="1420"/>
      <c r="AM80" s="1420"/>
      <c r="AN80" s="1420"/>
      <c r="AO80" s="1420"/>
      <c r="AP80" s="1420"/>
      <c r="AQ80" s="1420"/>
      <c r="AR80" s="1420"/>
      <c r="AS80" s="1420"/>
      <c r="AT80" s="1420"/>
      <c r="AU80" s="20"/>
      <c r="AV80" s="20"/>
      <c r="AW80" s="20"/>
      <c r="AX80" s="20"/>
      <c r="AY80" s="20"/>
      <c r="AZ80" s="20"/>
      <c r="BD80" s="1247" t="s">
        <v>2575</v>
      </c>
      <c r="BE80" s="1248">
        <f>'Points System'!AF817</f>
        <v>10</v>
      </c>
    </row>
    <row r="81" spans="1:57" ht="12.95" customHeight="1">
      <c r="A81" s="1420"/>
      <c r="B81" s="1420"/>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420"/>
      <c r="AJ81" s="1420"/>
      <c r="AK81" s="1420"/>
      <c r="AL81" s="1420"/>
      <c r="AM81" s="1420"/>
      <c r="AN81" s="1420"/>
      <c r="AO81" s="1420"/>
      <c r="AP81" s="1420"/>
      <c r="AQ81" s="1420"/>
      <c r="AR81" s="1420"/>
      <c r="AS81" s="1420"/>
      <c r="AT81" s="1420"/>
      <c r="AU81" s="20"/>
      <c r="AV81" s="20"/>
      <c r="AW81" s="20"/>
      <c r="AX81" s="20"/>
      <c r="AY81" s="20"/>
      <c r="AZ81" s="20"/>
      <c r="BD81" s="1246" t="s">
        <v>2576</v>
      </c>
      <c r="BE81" s="1248">
        <f>'Points System'!AF818</f>
        <v>12</v>
      </c>
    </row>
    <row r="82" spans="1:57" ht="12.95" customHeight="1">
      <c r="A82" s="518"/>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7" t="s">
        <v>2577</v>
      </c>
      <c r="BE82" s="1248">
        <f>'Points System'!AF819</f>
        <v>10</v>
      </c>
    </row>
    <row r="83" spans="1:57" ht="12.95" customHeight="1">
      <c r="A83" s="1266" t="s">
        <v>2163</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c r="BD83" s="1246" t="s">
        <v>2578</v>
      </c>
      <c r="BE83" s="1252">
        <f>'Tie Breaker'!H5</f>
        <v>1.2289739014597292</v>
      </c>
    </row>
    <row r="84" spans="1:57"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c r="BD84" s="1247" t="s">
        <v>2579</v>
      </c>
      <c r="BE84" s="1248" t="str">
        <f>Application!O153</f>
        <v>County of 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6" t="s">
        <v>2580</v>
      </c>
      <c r="BE85" s="1248" t="str">
        <f>Application!O154</f>
        <v>Lynn Katano</v>
      </c>
    </row>
    <row r="86" spans="1:57" ht="12.95" customHeight="1">
      <c r="A86" s="1266" t="s">
        <v>2164</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c r="BD86" s="1247" t="s">
        <v>2581</v>
      </c>
      <c r="BE86" s="1248" t="str">
        <f>Application!O155</f>
        <v>City Manager</v>
      </c>
    </row>
    <row r="87" spans="1:57"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c r="BD87" s="1246" t="s">
        <v>2582</v>
      </c>
      <c r="BE87" s="1248" t="str">
        <f>Application!O156</f>
        <v>700 W. Main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7" t="s">
        <v>2583</v>
      </c>
      <c r="BE88" s="1248" t="str">
        <f>Application!O157</f>
        <v>Alhambra</v>
      </c>
    </row>
    <row r="89" spans="1:57" ht="12.95" customHeight="1">
      <c r="A89" s="1798" t="s">
        <v>2165</v>
      </c>
      <c r="B89" s="1798"/>
      <c r="C89" s="1798"/>
      <c r="D89" s="1798"/>
      <c r="E89" s="1798"/>
      <c r="F89" s="1798"/>
      <c r="G89" s="1798"/>
      <c r="H89" s="1798"/>
      <c r="I89" s="1798"/>
      <c r="J89" s="1798"/>
      <c r="K89" s="1798"/>
      <c r="L89" s="1798"/>
      <c r="M89" s="1798"/>
      <c r="N89" s="1798"/>
      <c r="O89" s="1798"/>
      <c r="P89" s="1798"/>
      <c r="Q89" s="1798"/>
      <c r="R89" s="1798"/>
      <c r="S89" s="1798"/>
      <c r="T89" s="1798"/>
      <c r="U89" s="1798"/>
      <c r="V89" s="1798"/>
      <c r="W89" s="1798"/>
      <c r="X89" s="1798"/>
      <c r="Y89" s="1798"/>
      <c r="Z89" s="1798"/>
      <c r="AA89" s="1798"/>
      <c r="AB89" s="1798"/>
      <c r="AC89" s="1798"/>
      <c r="AD89" s="1798"/>
      <c r="AE89" s="1798"/>
      <c r="AF89" s="1798"/>
      <c r="AG89" s="1798"/>
      <c r="AH89" s="1798"/>
      <c r="AI89" s="1798"/>
      <c r="AJ89" s="1798"/>
      <c r="AK89" s="1798"/>
      <c r="AL89" s="1798"/>
      <c r="AM89" s="1798"/>
      <c r="AN89" s="1798"/>
      <c r="AO89" s="1798"/>
      <c r="AP89" s="1798"/>
      <c r="AQ89" s="1798"/>
      <c r="AR89" s="1798"/>
      <c r="AS89" s="1798"/>
      <c r="AT89" s="1798"/>
      <c r="AU89" s="17"/>
      <c r="AV89" s="17"/>
      <c r="AW89" s="17"/>
      <c r="AX89" s="17"/>
      <c r="AY89" s="17"/>
      <c r="AZ89" s="20"/>
      <c r="BD89" s="1246" t="s">
        <v>2584</v>
      </c>
      <c r="BE89" s="1248">
        <f>Application!O158</f>
        <v>91801</v>
      </c>
    </row>
    <row r="90" spans="1:57" ht="12.95" customHeight="1">
      <c r="A90" s="1798"/>
      <c r="B90" s="1798"/>
      <c r="C90" s="1798"/>
      <c r="D90" s="1798"/>
      <c r="E90" s="1798"/>
      <c r="F90" s="1798"/>
      <c r="G90" s="1798"/>
      <c r="H90" s="1798"/>
      <c r="I90" s="1798"/>
      <c r="J90" s="1798"/>
      <c r="K90" s="1798"/>
      <c r="L90" s="1798"/>
      <c r="M90" s="1798"/>
      <c r="N90" s="1798"/>
      <c r="O90" s="1798"/>
      <c r="P90" s="1798"/>
      <c r="Q90" s="1798"/>
      <c r="R90" s="1798"/>
      <c r="S90" s="1798"/>
      <c r="T90" s="1798"/>
      <c r="U90" s="1798"/>
      <c r="V90" s="1798"/>
      <c r="W90" s="1798"/>
      <c r="X90" s="1798"/>
      <c r="Y90" s="1798"/>
      <c r="Z90" s="1798"/>
      <c r="AA90" s="1798"/>
      <c r="AB90" s="1798"/>
      <c r="AC90" s="1798"/>
      <c r="AD90" s="1798"/>
      <c r="AE90" s="1798"/>
      <c r="AF90" s="1798"/>
      <c r="AG90" s="1798"/>
      <c r="AH90" s="1798"/>
      <c r="AI90" s="1798"/>
      <c r="AJ90" s="1798"/>
      <c r="AK90" s="1798"/>
      <c r="AL90" s="1798"/>
      <c r="AM90" s="1798"/>
      <c r="AN90" s="1798"/>
      <c r="AO90" s="1798"/>
      <c r="AP90" s="1798"/>
      <c r="AQ90" s="1798"/>
      <c r="AR90" s="1798"/>
      <c r="AS90" s="1798"/>
      <c r="AT90" s="1798"/>
      <c r="AU90" s="17"/>
      <c r="AV90" s="17"/>
      <c r="AW90" s="17"/>
      <c r="AX90" s="17"/>
      <c r="AY90" s="17"/>
      <c r="AZ90" s="20"/>
      <c r="BD90" s="1247" t="s">
        <v>2585</v>
      </c>
      <c r="BE90" s="1248" t="str">
        <f>Application!H16</f>
        <v xml:space="preserve">Century Affordable Development, Inc.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6" t="s">
        <v>2586</v>
      </c>
      <c r="BE91" s="1248" t="str">
        <f>Application!M233</f>
        <v>1000 Corporate Pointe</v>
      </c>
    </row>
    <row r="92" spans="1:57" ht="12.95" customHeight="1">
      <c r="A92" s="1799" t="s">
        <v>2166</v>
      </c>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c r="AI92" s="1799"/>
      <c r="AJ92" s="1799"/>
      <c r="AK92" s="1799"/>
      <c r="AL92" s="1799"/>
      <c r="AM92" s="1799"/>
      <c r="AN92" s="1799"/>
      <c r="AO92" s="1799"/>
      <c r="AP92" s="1799"/>
      <c r="AQ92" s="1799"/>
      <c r="AR92" s="1799"/>
      <c r="AS92" s="1799"/>
      <c r="AT92" s="1799"/>
      <c r="AU92" s="20"/>
      <c r="AV92" s="20"/>
      <c r="AW92" s="20"/>
      <c r="AX92" s="20"/>
      <c r="AY92" s="20"/>
      <c r="AZ92" s="20"/>
      <c r="BD92" s="1247" t="s">
        <v>2587</v>
      </c>
      <c r="BE92" s="1248" t="str">
        <f>Application!M234</f>
        <v xml:space="preserve">Culver City </v>
      </c>
    </row>
    <row r="93" spans="1:57" ht="12.9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c r="AI93" s="1799"/>
      <c r="AJ93" s="1799"/>
      <c r="AK93" s="1799"/>
      <c r="AL93" s="1799"/>
      <c r="AM93" s="1799"/>
      <c r="AN93" s="1799"/>
      <c r="AO93" s="1799"/>
      <c r="AP93" s="1799"/>
      <c r="AQ93" s="1799"/>
      <c r="AR93" s="1799"/>
      <c r="AS93" s="1799"/>
      <c r="AT93" s="1799"/>
      <c r="AU93" s="20"/>
      <c r="AV93" s="20"/>
      <c r="AW93" s="20"/>
      <c r="AX93" s="20"/>
      <c r="AY93" s="20"/>
      <c r="AZ93" s="20"/>
      <c r="BD93" s="1246" t="s">
        <v>2588</v>
      </c>
      <c r="BE93" s="1248" t="str">
        <f>Application!W234</f>
        <v>CA</v>
      </c>
    </row>
    <row r="94" spans="1:57" ht="12.9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c r="AI94" s="1799"/>
      <c r="AJ94" s="1799"/>
      <c r="AK94" s="1799"/>
      <c r="AL94" s="1799"/>
      <c r="AM94" s="1799"/>
      <c r="AN94" s="1799"/>
      <c r="AO94" s="1799"/>
      <c r="AP94" s="1799"/>
      <c r="AQ94" s="1799"/>
      <c r="AR94" s="1799"/>
      <c r="AS94" s="1799"/>
      <c r="AT94" s="1799"/>
      <c r="AU94" s="20"/>
      <c r="AV94" s="20"/>
      <c r="AW94" s="20"/>
      <c r="AX94" s="20"/>
      <c r="AY94" s="20"/>
      <c r="AZ94" s="20"/>
      <c r="BD94" s="1247" t="s">
        <v>2589</v>
      </c>
      <c r="BE94" s="1248">
        <f>Application!AC234</f>
        <v>90230</v>
      </c>
    </row>
    <row r="95" spans="1:57" ht="12.9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c r="AI95" s="1799"/>
      <c r="AJ95" s="1799"/>
      <c r="AK95" s="1799"/>
      <c r="AL95" s="1799"/>
      <c r="AM95" s="1799"/>
      <c r="AN95" s="1799"/>
      <c r="AO95" s="1799"/>
      <c r="AP95" s="1799"/>
      <c r="AQ95" s="1799"/>
      <c r="AR95" s="1799"/>
      <c r="AS95" s="1799"/>
      <c r="AT95" s="1799"/>
      <c r="AU95" s="20"/>
      <c r="AV95" s="20"/>
      <c r="AW95" s="20"/>
      <c r="AX95" s="20"/>
      <c r="AY95" s="20"/>
      <c r="AZ95" s="20"/>
      <c r="BD95" s="1246" t="s">
        <v>2590</v>
      </c>
      <c r="BE95" s="1248" t="str">
        <f>Application!M235</f>
        <v>Oscar Alvarado</v>
      </c>
    </row>
    <row r="96" spans="1:57" ht="12.9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c r="AI96" s="1799"/>
      <c r="AJ96" s="1799"/>
      <c r="AK96" s="1799"/>
      <c r="AL96" s="1799"/>
      <c r="AM96" s="1799"/>
      <c r="AN96" s="1799"/>
      <c r="AO96" s="1799"/>
      <c r="AP96" s="1799"/>
      <c r="AQ96" s="1799"/>
      <c r="AR96" s="1799"/>
      <c r="AS96" s="1799"/>
      <c r="AT96" s="1799"/>
      <c r="AU96" s="20"/>
      <c r="AV96" s="20"/>
      <c r="AW96" s="20"/>
      <c r="AX96" s="20"/>
      <c r="AY96" s="20"/>
      <c r="AZ96" s="20"/>
      <c r="BD96" s="1247" t="s">
        <v>2591</v>
      </c>
      <c r="BE96" s="1248" t="str">
        <f>Application!M237</f>
        <v>oalvarado@century.org</v>
      </c>
    </row>
    <row r="97" spans="1:57" ht="12.9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c r="AI97" s="1799"/>
      <c r="AJ97" s="1799"/>
      <c r="AK97" s="1799"/>
      <c r="AL97" s="1799"/>
      <c r="AM97" s="1799"/>
      <c r="AN97" s="1799"/>
      <c r="AO97" s="1799"/>
      <c r="AP97" s="1799"/>
      <c r="AQ97" s="1799"/>
      <c r="AR97" s="1799"/>
      <c r="AS97" s="1799"/>
      <c r="AT97" s="1799"/>
      <c r="AU97" s="20"/>
      <c r="AV97" s="20"/>
      <c r="AW97" s="20"/>
      <c r="AX97" s="20"/>
      <c r="AY97" s="20"/>
      <c r="AZ97" s="20"/>
      <c r="BD97" s="1246" t="s">
        <v>2592</v>
      </c>
      <c r="BE97" s="1248" t="str">
        <f>Application!M248</f>
        <v>oalvarado@century.org</v>
      </c>
    </row>
    <row r="98" spans="1:57" ht="12.9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c r="AI98" s="1799"/>
      <c r="AJ98" s="1799"/>
      <c r="AK98" s="1799"/>
      <c r="AL98" s="1799"/>
      <c r="AM98" s="1799"/>
      <c r="AN98" s="1799"/>
      <c r="AO98" s="1799"/>
      <c r="AP98" s="1799"/>
      <c r="AQ98" s="1799"/>
      <c r="AR98" s="1799"/>
      <c r="AS98" s="1799"/>
      <c r="AT98" s="1799"/>
      <c r="AU98" s="20"/>
      <c r="AV98" s="20"/>
      <c r="AW98" s="20"/>
      <c r="AX98" s="20"/>
      <c r="AY98" s="20"/>
      <c r="AZ98" s="20"/>
      <c r="BD98" s="1247" t="s">
        <v>2593</v>
      </c>
      <c r="BE98" s="1248">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6" t="s">
        <v>2594</v>
      </c>
      <c r="BE99" s="1248">
        <f>Application!M264</f>
        <v>0</v>
      </c>
    </row>
    <row r="100" spans="1:57" ht="12.95" customHeight="1">
      <c r="A100" s="1800" t="s">
        <v>2167</v>
      </c>
      <c r="B100" s="1800"/>
      <c r="C100" s="1800"/>
      <c r="D100" s="1800"/>
      <c r="E100" s="1800"/>
      <c r="F100" s="1800"/>
      <c r="G100" s="1800"/>
      <c r="H100" s="1800"/>
      <c r="I100" s="1800"/>
      <c r="J100" s="1800"/>
      <c r="K100" s="1800"/>
      <c r="L100" s="1800"/>
      <c r="M100" s="1800"/>
      <c r="N100" s="1800"/>
      <c r="O100" s="1800"/>
      <c r="P100" s="1800"/>
      <c r="Q100" s="1800"/>
      <c r="R100" s="1800"/>
      <c r="S100" s="1800"/>
      <c r="T100" s="1800"/>
      <c r="U100" s="1800"/>
      <c r="V100" s="1800"/>
      <c r="W100" s="1800"/>
      <c r="X100" s="1800"/>
      <c r="Y100" s="1800"/>
      <c r="Z100" s="1800"/>
      <c r="AA100" s="1800"/>
      <c r="AB100" s="1800"/>
      <c r="AC100" s="1800"/>
      <c r="AD100" s="1800"/>
      <c r="AE100" s="1800"/>
      <c r="AF100" s="1800"/>
      <c r="AG100" s="1800"/>
      <c r="AH100" s="1800"/>
      <c r="AI100" s="1800"/>
      <c r="AJ100" s="1800"/>
      <c r="AK100" s="1800"/>
      <c r="AL100" s="1800"/>
      <c r="AM100" s="1800"/>
      <c r="AN100" s="1800"/>
      <c r="AO100" s="1800"/>
      <c r="AP100" s="1800"/>
      <c r="AQ100" s="1800"/>
      <c r="AR100" s="1800"/>
      <c r="AS100" s="1800"/>
      <c r="AT100" s="1800"/>
      <c r="AU100" s="20"/>
      <c r="AV100" s="20"/>
      <c r="AW100" s="20"/>
      <c r="AX100" s="20"/>
      <c r="AY100" s="20"/>
      <c r="AZ100" s="20"/>
      <c r="BD100" s="1247" t="s">
        <v>2595</v>
      </c>
      <c r="BE100" s="1248" t="str">
        <f>Application!L279</f>
        <v>astamas@century.org</v>
      </c>
    </row>
    <row r="101" spans="1:57" ht="12.95" customHeight="1">
      <c r="A101" s="1800"/>
      <c r="B101" s="1800"/>
      <c r="C101" s="1800"/>
      <c r="D101" s="1800"/>
      <c r="E101" s="1800"/>
      <c r="F101" s="1800"/>
      <c r="G101" s="1800"/>
      <c r="H101" s="1800"/>
      <c r="I101" s="1800"/>
      <c r="J101" s="1800"/>
      <c r="K101" s="1800"/>
      <c r="L101" s="1800"/>
      <c r="M101" s="1800"/>
      <c r="N101" s="1800"/>
      <c r="O101" s="1800"/>
      <c r="P101" s="1800"/>
      <c r="Q101" s="1800"/>
      <c r="R101" s="1800"/>
      <c r="S101" s="1800"/>
      <c r="T101" s="1800"/>
      <c r="U101" s="1800"/>
      <c r="V101" s="1800"/>
      <c r="W101" s="1800"/>
      <c r="X101" s="1800"/>
      <c r="Y101" s="1800"/>
      <c r="Z101" s="1800"/>
      <c r="AA101" s="1800"/>
      <c r="AB101" s="1800"/>
      <c r="AC101" s="1800"/>
      <c r="AD101" s="1800"/>
      <c r="AE101" s="1800"/>
      <c r="AF101" s="1800"/>
      <c r="AG101" s="1800"/>
      <c r="AH101" s="1800"/>
      <c r="AI101" s="1800"/>
      <c r="AJ101" s="1800"/>
      <c r="AK101" s="1800"/>
      <c r="AL101" s="1800"/>
      <c r="AM101" s="1800"/>
      <c r="AN101" s="1800"/>
      <c r="AO101" s="1800"/>
      <c r="AP101" s="1800"/>
      <c r="AQ101" s="1800"/>
      <c r="AR101" s="1800"/>
      <c r="AS101" s="1800"/>
      <c r="AT101" s="1800"/>
      <c r="AU101" s="20"/>
      <c r="AV101" s="20"/>
      <c r="AW101" s="20"/>
      <c r="AX101" s="20"/>
      <c r="AY101" s="20"/>
      <c r="AZ101" s="20"/>
      <c r="BD101" s="3" t="s">
        <v>2600</v>
      </c>
      <c r="BE101">
        <f>'Sources and Uses Budget'!C105</f>
        <v>84363214</v>
      </c>
    </row>
    <row r="102" spans="1:57" ht="12.95" customHeight="1">
      <c r="A102" s="1800"/>
      <c r="B102" s="1800"/>
      <c r="C102" s="1800"/>
      <c r="D102" s="1800"/>
      <c r="E102" s="1800"/>
      <c r="F102" s="1800"/>
      <c r="G102" s="1800"/>
      <c r="H102" s="1800"/>
      <c r="I102" s="1800"/>
      <c r="J102" s="1800"/>
      <c r="K102" s="1800"/>
      <c r="L102" s="1800"/>
      <c r="M102" s="1800"/>
      <c r="N102" s="1800"/>
      <c r="O102" s="1800"/>
      <c r="P102" s="1800"/>
      <c r="Q102" s="1800"/>
      <c r="R102" s="1800"/>
      <c r="S102" s="1800"/>
      <c r="T102" s="1800"/>
      <c r="U102" s="1800"/>
      <c r="V102" s="1800"/>
      <c r="W102" s="1800"/>
      <c r="X102" s="1800"/>
      <c r="Y102" s="1800"/>
      <c r="Z102" s="1800"/>
      <c r="AA102" s="1800"/>
      <c r="AB102" s="1800"/>
      <c r="AC102" s="1800"/>
      <c r="AD102" s="1800"/>
      <c r="AE102" s="1800"/>
      <c r="AF102" s="1800"/>
      <c r="AG102" s="1800"/>
      <c r="AH102" s="1800"/>
      <c r="AI102" s="1800"/>
      <c r="AJ102" s="1800"/>
      <c r="AK102" s="1800"/>
      <c r="AL102" s="1800"/>
      <c r="AM102" s="1800"/>
      <c r="AN102" s="1800"/>
      <c r="AO102" s="1800"/>
      <c r="AP102" s="1800"/>
      <c r="AQ102" s="1800"/>
      <c r="AR102" s="1800"/>
      <c r="AS102" s="1800"/>
      <c r="AT102" s="1800"/>
      <c r="AU102" s="20"/>
      <c r="AV102" s="20"/>
      <c r="AW102" s="20"/>
      <c r="AX102" s="20"/>
      <c r="AY102" s="20"/>
      <c r="AZ102" s="20"/>
      <c r="BD102" s="3" t="s">
        <v>2601</v>
      </c>
      <c r="BE102" t="b">
        <f>T197="Yes"</f>
        <v>0</v>
      </c>
    </row>
    <row r="103" spans="1:57" ht="12.95" customHeight="1">
      <c r="A103" s="1800"/>
      <c r="B103" s="1800"/>
      <c r="C103" s="1800"/>
      <c r="D103" s="1800"/>
      <c r="E103" s="1800"/>
      <c r="F103" s="1800"/>
      <c r="G103" s="1800"/>
      <c r="H103" s="1800"/>
      <c r="I103" s="1800"/>
      <c r="J103" s="1800"/>
      <c r="K103" s="1800"/>
      <c r="L103" s="1800"/>
      <c r="M103" s="1800"/>
      <c r="N103" s="1800"/>
      <c r="O103" s="1800"/>
      <c r="P103" s="1800"/>
      <c r="Q103" s="1800"/>
      <c r="R103" s="1800"/>
      <c r="S103" s="1800"/>
      <c r="T103" s="1800"/>
      <c r="U103" s="1800"/>
      <c r="V103" s="1800"/>
      <c r="W103" s="1800"/>
      <c r="X103" s="1800"/>
      <c r="Y103" s="1800"/>
      <c r="Z103" s="1800"/>
      <c r="AA103" s="1800"/>
      <c r="AB103" s="1800"/>
      <c r="AC103" s="1800"/>
      <c r="AD103" s="1800"/>
      <c r="AE103" s="1800"/>
      <c r="AF103" s="1800"/>
      <c r="AG103" s="1800"/>
      <c r="AH103" s="1800"/>
      <c r="AI103" s="1800"/>
      <c r="AJ103" s="1800"/>
      <c r="AK103" s="1800"/>
      <c r="AL103" s="1800"/>
      <c r="AM103" s="1800"/>
      <c r="AN103" s="1800"/>
      <c r="AO103" s="1800"/>
      <c r="AP103" s="1800"/>
      <c r="AQ103" s="1800"/>
      <c r="AR103" s="1800"/>
      <c r="AS103" s="1800"/>
      <c r="AT103" s="1800"/>
      <c r="AU103" s="20"/>
      <c r="AV103" s="20"/>
      <c r="AW103" s="20"/>
      <c r="AX103" s="20"/>
      <c r="AY103" s="20"/>
      <c r="BD103" t="s">
        <v>2177</v>
      </c>
      <c r="BE103" s="1248"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800" t="s">
        <v>2168</v>
      </c>
      <c r="B105" s="1800"/>
      <c r="C105" s="1800"/>
      <c r="D105" s="1800"/>
      <c r="E105" s="1800"/>
      <c r="F105" s="1800"/>
      <c r="G105" s="1800"/>
      <c r="H105" s="1800"/>
      <c r="I105" s="1800"/>
      <c r="J105" s="1800"/>
      <c r="K105" s="1800"/>
      <c r="L105" s="1800"/>
      <c r="M105" s="1800"/>
      <c r="N105" s="1800"/>
      <c r="O105" s="1800"/>
      <c r="P105" s="1800"/>
      <c r="Q105" s="1800"/>
      <c r="R105" s="1800"/>
      <c r="S105" s="1800"/>
      <c r="T105" s="1800"/>
      <c r="U105" s="1800"/>
      <c r="V105" s="1800"/>
      <c r="W105" s="1800"/>
      <c r="X105" s="1800"/>
      <c r="Y105" s="1800"/>
      <c r="Z105" s="1800"/>
      <c r="AA105" s="1800"/>
      <c r="AB105" s="1800"/>
      <c r="AC105" s="1800"/>
      <c r="AD105" s="1800"/>
      <c r="AE105" s="1800"/>
      <c r="AF105" s="1800"/>
      <c r="AG105" s="1800"/>
      <c r="AH105" s="1800"/>
      <c r="AI105" s="1800"/>
      <c r="AJ105" s="1800"/>
      <c r="AK105" s="1800"/>
      <c r="AL105" s="1800"/>
      <c r="AM105" s="1800"/>
      <c r="AN105" s="1800"/>
      <c r="AO105" s="1800"/>
      <c r="AP105" s="1800"/>
      <c r="AQ105" s="1800"/>
      <c r="AR105" s="1800"/>
      <c r="AS105" s="1800"/>
      <c r="AT105" s="1800"/>
      <c r="AU105" s="20"/>
      <c r="AV105" s="20"/>
      <c r="AW105" s="20"/>
      <c r="AX105" s="20"/>
      <c r="AY105" s="20"/>
    </row>
    <row r="106" spans="1:57" ht="12.95" customHeight="1">
      <c r="A106" s="1800"/>
      <c r="B106" s="1800"/>
      <c r="C106" s="1800"/>
      <c r="D106" s="1800"/>
      <c r="E106" s="1800"/>
      <c r="F106" s="1800"/>
      <c r="G106" s="1800"/>
      <c r="H106" s="1800"/>
      <c r="I106" s="1800"/>
      <c r="J106" s="1800"/>
      <c r="K106" s="1800"/>
      <c r="L106" s="1800"/>
      <c r="M106" s="1800"/>
      <c r="N106" s="1800"/>
      <c r="O106" s="1800"/>
      <c r="P106" s="1800"/>
      <c r="Q106" s="1800"/>
      <c r="R106" s="1800"/>
      <c r="S106" s="1800"/>
      <c r="T106" s="1800"/>
      <c r="U106" s="1800"/>
      <c r="V106" s="1800"/>
      <c r="W106" s="1800"/>
      <c r="X106" s="1800"/>
      <c r="Y106" s="1800"/>
      <c r="Z106" s="1800"/>
      <c r="AA106" s="1800"/>
      <c r="AB106" s="1800"/>
      <c r="AC106" s="1800"/>
      <c r="AD106" s="1800"/>
      <c r="AE106" s="1800"/>
      <c r="AF106" s="1800"/>
      <c r="AG106" s="1800"/>
      <c r="AH106" s="1800"/>
      <c r="AI106" s="1800"/>
      <c r="AJ106" s="1800"/>
      <c r="AK106" s="1800"/>
      <c r="AL106" s="1800"/>
      <c r="AM106" s="1800"/>
      <c r="AN106" s="1800"/>
      <c r="AO106" s="1800"/>
      <c r="AP106" s="1800"/>
      <c r="AQ106" s="1800"/>
      <c r="AR106" s="1800"/>
      <c r="AS106" s="1800"/>
      <c r="AT106" s="1800"/>
      <c r="AU106" s="20"/>
      <c r="AV106" s="20"/>
      <c r="AW106" s="20"/>
      <c r="AX106" s="20"/>
      <c r="AY106" s="20"/>
    </row>
    <row r="107" spans="1:57" ht="12.95" customHeight="1">
      <c r="A107" s="516"/>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6"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6"/>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6"/>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6"/>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8"/>
      <c r="C113" s="3" t="s">
        <v>181</v>
      </c>
      <c r="G113" s="1801"/>
      <c r="H113" s="1801"/>
      <c r="I113" s="3" t="s">
        <v>182</v>
      </c>
      <c r="L113" s="1801"/>
      <c r="M113" s="1801"/>
      <c r="N113" s="1801"/>
      <c r="O113" s="1801"/>
      <c r="P113" s="1811" t="s">
        <v>2242</v>
      </c>
      <c r="Q113" s="1811"/>
      <c r="R113" s="1811"/>
      <c r="S113" s="181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14"/>
      <c r="D115" s="1814"/>
      <c r="E115" s="1814"/>
      <c r="F115" s="1814"/>
      <c r="G115" s="1814"/>
      <c r="H115" s="1814"/>
      <c r="I115" s="1814"/>
      <c r="J115" s="1814"/>
      <c r="K115" s="1814"/>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801"/>
      <c r="Z117" s="1801"/>
      <c r="AA117" s="1801"/>
      <c r="AB117" s="1801"/>
      <c r="AC117" s="1801"/>
      <c r="AD117" s="1801"/>
      <c r="AE117" s="1801"/>
      <c r="AF117" s="1801"/>
      <c r="AG117" s="1801"/>
      <c r="AH117" s="1801"/>
      <c r="AI117" s="1801"/>
      <c r="AJ117" s="1801"/>
      <c r="AK117" s="1801"/>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801"/>
      <c r="Z120" s="1801"/>
      <c r="AA120" s="1801"/>
      <c r="AB120" s="1801"/>
      <c r="AC120" s="1801"/>
      <c r="AD120" s="1801"/>
      <c r="AE120" s="1801"/>
      <c r="AF120" s="1801"/>
      <c r="AG120" s="1801"/>
      <c r="AH120" s="1801"/>
      <c r="AI120" s="1801"/>
      <c r="AJ120" s="1801"/>
      <c r="AK120" s="1801"/>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72" t="s">
        <v>470</v>
      </c>
      <c r="CV122" s="1673"/>
      <c r="CW122" s="14"/>
      <c r="CX122" s="14" t="s">
        <v>635</v>
      </c>
      <c r="CY122" s="14"/>
      <c r="CZ122" s="14"/>
      <c r="DA122" s="14"/>
      <c r="DB122" s="14"/>
      <c r="DC122" s="14"/>
      <c r="DD122" s="14"/>
      <c r="DE122" s="14"/>
      <c r="DF122" s="14"/>
      <c r="DG122" s="1669" t="str">
        <f>T189</f>
        <v>Los Angeles</v>
      </c>
      <c r="DH122" s="1670"/>
      <c r="DI122" s="1670"/>
      <c r="DJ122" s="1670"/>
      <c r="DK122" s="1670"/>
      <c r="DL122" s="1670"/>
      <c r="DM122" s="1671"/>
    </row>
    <row r="123" spans="1:117" ht="12.95" customHeight="1">
      <c r="A123" s="3"/>
      <c r="B123" s="3"/>
      <c r="T123" s="3"/>
      <c r="U123" s="3"/>
      <c r="V123" s="3"/>
      <c r="W123" s="3"/>
      <c r="X123" s="3"/>
      <c r="Y123" s="1801"/>
      <c r="Z123" s="1801"/>
      <c r="AA123" s="1801"/>
      <c r="AB123" s="1801"/>
      <c r="AC123" s="1801"/>
      <c r="AD123" s="1801"/>
      <c r="AE123" s="1801"/>
      <c r="AF123" s="1801"/>
      <c r="AG123" s="1801"/>
      <c r="AH123" s="1801"/>
      <c r="AI123" s="1801"/>
      <c r="AJ123" s="1801"/>
      <c r="AK123" s="1801"/>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3"/>
      <c r="AL128" s="353"/>
      <c r="AM128" s="353"/>
      <c r="AN128" s="353"/>
      <c r="AO128" s="353"/>
      <c r="AP128" s="353"/>
      <c r="AQ128" s="353"/>
      <c r="AR128" s="353"/>
      <c r="AS128" s="353"/>
      <c r="AT128" s="353"/>
      <c r="AU128" s="353"/>
      <c r="AV128" s="353"/>
      <c r="AW128" s="353"/>
      <c r="AX128" s="353"/>
      <c r="AY128" s="353"/>
    </row>
    <row r="129" spans="1:51" ht="12.95" customHeight="1">
      <c r="A129" s="353"/>
      <c r="B129" s="4"/>
      <c r="R129" s="6"/>
      <c r="S129" s="6"/>
      <c r="T129" s="6"/>
      <c r="U129" s="6"/>
      <c r="V129" s="6"/>
      <c r="W129" s="6"/>
      <c r="AL129" s="353"/>
      <c r="AM129" s="353"/>
      <c r="AN129" s="353"/>
      <c r="AO129" s="353"/>
      <c r="AP129" s="353"/>
      <c r="AQ129" s="353"/>
      <c r="AR129" s="353"/>
      <c r="AS129" s="353"/>
      <c r="AT129" s="353"/>
      <c r="AU129" s="353"/>
      <c r="AV129" s="353"/>
      <c r="AW129" s="353"/>
      <c r="AX129" s="353"/>
      <c r="AY129" s="353"/>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4"/>
      <c r="U139" s="454"/>
      <c r="V139" s="454"/>
      <c r="W139" s="454"/>
      <c r="X139" s="454"/>
      <c r="Y139" s="454"/>
      <c r="Z139" s="454"/>
      <c r="AA139" s="454"/>
      <c r="AB139" s="454"/>
      <c r="AC139" s="454"/>
      <c r="AD139" s="454"/>
      <c r="AE139" s="454"/>
      <c r="AF139" s="454"/>
      <c r="AG139" s="454"/>
      <c r="AH139" s="454"/>
      <c r="AI139" s="454"/>
      <c r="AJ139" s="454"/>
      <c r="AK139" s="3"/>
      <c r="AL139" s="3"/>
      <c r="AM139" s="3"/>
      <c r="AN139" s="3"/>
      <c r="AO139" s="3"/>
      <c r="AP139" s="3"/>
      <c r="AQ139" s="3"/>
      <c r="AR139" s="3"/>
      <c r="AS139" s="3"/>
      <c r="AT139" s="3"/>
      <c r="AU139" s="3"/>
      <c r="AV139" s="3"/>
      <c r="AW139" s="3"/>
      <c r="AX139" s="3"/>
      <c r="AY139" s="3"/>
    </row>
    <row r="140" spans="1:51" ht="12.95" customHeight="1">
      <c r="A140" s="3"/>
      <c r="B140" s="119"/>
      <c r="C140" s="454"/>
      <c r="D140" s="454"/>
      <c r="E140" s="454"/>
      <c r="F140" s="454"/>
      <c r="G140" s="454"/>
      <c r="H140" s="454"/>
      <c r="I140" s="454"/>
      <c r="J140" s="454"/>
      <c r="K140" s="454"/>
      <c r="L140" s="454"/>
      <c r="M140" s="454"/>
      <c r="N140" s="454"/>
      <c r="O140" s="454"/>
      <c r="P140" s="454"/>
      <c r="Q140" s="454"/>
      <c r="R140" s="454"/>
      <c r="S140" s="454"/>
      <c r="T140" s="454"/>
      <c r="U140" s="454"/>
      <c r="V140" s="454"/>
      <c r="W140" s="454"/>
      <c r="X140" s="454"/>
      <c r="Y140" s="454"/>
      <c r="Z140" s="454"/>
      <c r="AA140" s="454"/>
      <c r="AB140" s="454"/>
      <c r="AC140" s="454"/>
      <c r="AD140" s="454"/>
      <c r="AE140" s="454"/>
      <c r="AF140" s="454"/>
      <c r="AG140" s="454"/>
      <c r="AH140" s="454"/>
      <c r="AI140" s="454"/>
      <c r="AJ140" s="454"/>
      <c r="AK140" s="3"/>
      <c r="AL140" s="3"/>
      <c r="AM140" s="3"/>
      <c r="AN140" s="3"/>
      <c r="AO140" s="3"/>
      <c r="AP140" s="3"/>
      <c r="AQ140" s="3"/>
      <c r="AR140" s="3"/>
      <c r="AS140" s="3"/>
      <c r="AT140" s="3"/>
      <c r="AU140" s="3"/>
      <c r="AV140" s="3"/>
      <c r="AW140" s="3"/>
      <c r="AX140" s="3"/>
      <c r="AY140" s="3"/>
    </row>
    <row r="141" spans="1:51" ht="12.95" customHeight="1">
      <c r="A141" s="3"/>
      <c r="B141" s="119"/>
      <c r="C141" s="454"/>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c r="AA141" s="454"/>
      <c r="AB141" s="454"/>
      <c r="AC141" s="454"/>
      <c r="AD141" s="454"/>
      <c r="AE141" s="454"/>
      <c r="AF141" s="454"/>
      <c r="AG141" s="454"/>
      <c r="AH141" s="454"/>
      <c r="AI141" s="454"/>
      <c r="AJ141" s="454"/>
      <c r="AK141" s="3"/>
      <c r="AL141" s="3"/>
      <c r="AM141" s="3"/>
      <c r="AN141" s="3"/>
      <c r="AO141" s="3"/>
      <c r="AP141" s="3"/>
      <c r="AQ141" s="3"/>
      <c r="AR141" s="3"/>
      <c r="AS141" s="3"/>
      <c r="AT141" s="3"/>
      <c r="AU141" s="3"/>
      <c r="AV141" s="3"/>
      <c r="AW141" s="3"/>
      <c r="AX141" s="3"/>
      <c r="AY141" s="3"/>
    </row>
    <row r="142" spans="1:51" ht="12.95" customHeight="1">
      <c r="A142" s="3"/>
      <c r="B142" s="119"/>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3"/>
      <c r="AL142" s="3"/>
      <c r="AM142" s="3"/>
      <c r="AN142" s="3"/>
      <c r="AO142" s="3"/>
      <c r="AP142" s="3"/>
      <c r="AQ142" s="3"/>
      <c r="AR142" s="3"/>
      <c r="AS142" s="3"/>
      <c r="AT142" s="3"/>
      <c r="AU142" s="3"/>
      <c r="AV142" s="3"/>
      <c r="AW142" s="3"/>
      <c r="AX142" s="3"/>
      <c r="AY142" s="3"/>
    </row>
    <row r="143" spans="1:51" ht="12.95" customHeight="1">
      <c r="A143" s="3"/>
      <c r="D143" s="440"/>
      <c r="E143" s="440"/>
      <c r="F143" s="440"/>
      <c r="G143" s="440"/>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3"/>
      <c r="AL143" s="3"/>
      <c r="AM143" s="3"/>
      <c r="AN143" s="3"/>
      <c r="AO143" s="3"/>
      <c r="AP143" s="3"/>
      <c r="AQ143" s="3"/>
      <c r="AR143" s="3"/>
      <c r="AS143" s="3"/>
      <c r="AT143" s="3"/>
      <c r="AU143" s="3"/>
      <c r="AV143" s="3"/>
      <c r="AW143" s="3"/>
      <c r="AX143" s="3"/>
      <c r="AY143" s="3"/>
    </row>
    <row r="144" spans="1:51" ht="12.95" customHeight="1">
      <c r="A144" s="3"/>
      <c r="B144" s="518"/>
      <c r="C144" s="440"/>
      <c r="D144" s="440"/>
      <c r="E144" s="440"/>
      <c r="F144" s="440"/>
      <c r="G144" s="440"/>
      <c r="H144" s="440"/>
      <c r="I144" s="440"/>
      <c r="J144" s="44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0"/>
      <c r="AJ144" s="440"/>
      <c r="AK144" s="3"/>
      <c r="AL144" s="3"/>
      <c r="AM144" s="3"/>
      <c r="AN144" s="3"/>
      <c r="AO144" s="3"/>
      <c r="AP144" s="3"/>
      <c r="AQ144" s="3"/>
      <c r="AR144" s="3"/>
      <c r="AS144" s="3"/>
      <c r="AT144" s="3"/>
      <c r="AU144" s="3"/>
      <c r="AV144" s="3"/>
      <c r="AW144" s="3"/>
      <c r="AX144" s="3"/>
      <c r="AY144" s="3"/>
    </row>
    <row r="145" spans="1:108" ht="12.95" customHeight="1">
      <c r="A145" s="3"/>
      <c r="B145" s="3"/>
      <c r="C145" s="440"/>
      <c r="D145" s="440"/>
      <c r="E145" s="440"/>
      <c r="F145" s="440"/>
      <c r="G145" s="440"/>
      <c r="H145" s="440"/>
      <c r="I145" s="440"/>
      <c r="J145" s="44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0"/>
      <c r="AJ145" s="440"/>
      <c r="AK145" s="3"/>
      <c r="AL145" s="3"/>
      <c r="AM145" s="3"/>
      <c r="AN145" s="3"/>
      <c r="AO145" s="3"/>
      <c r="AP145" s="3"/>
      <c r="AQ145" s="3"/>
      <c r="AR145" s="3"/>
      <c r="AS145" s="3"/>
      <c r="AT145" s="3"/>
      <c r="AU145" s="3"/>
      <c r="AV145" s="3"/>
      <c r="AW145" s="3"/>
      <c r="AX145" s="3"/>
      <c r="AY145" s="3"/>
    </row>
    <row r="146" spans="1:108" ht="12.95" customHeight="1">
      <c r="A146" s="3"/>
      <c r="D146" s="440"/>
      <c r="E146" s="440"/>
      <c r="F146" s="440"/>
      <c r="G146" s="440"/>
      <c r="H146" s="440"/>
      <c r="I146" s="440"/>
      <c r="J146" s="44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0"/>
      <c r="AJ146" s="440"/>
      <c r="AK146" s="3"/>
      <c r="AL146" s="3"/>
      <c r="AM146" s="3"/>
      <c r="AN146" s="3"/>
      <c r="AO146" s="3"/>
      <c r="AP146" s="3"/>
      <c r="AQ146" s="3"/>
      <c r="AR146" s="3"/>
      <c r="AS146" s="3"/>
      <c r="AT146" s="3"/>
      <c r="AU146" s="3"/>
      <c r="AV146" s="3"/>
      <c r="AW146" s="3"/>
      <c r="AX146" s="3"/>
      <c r="AY146" s="3"/>
    </row>
    <row r="147" spans="1:108" ht="12.95" customHeight="1">
      <c r="A147" s="3"/>
      <c r="B147" s="518"/>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9"/>
      <c r="G150" s="1339"/>
      <c r="H150" s="1339"/>
      <c r="I150" s="1339"/>
      <c r="J150" s="1339"/>
      <c r="K150" s="1339"/>
      <c r="L150" s="1339"/>
      <c r="M150" s="1339"/>
      <c r="N150" s="1339"/>
      <c r="O150" s="1339"/>
      <c r="P150" s="1339"/>
      <c r="Q150" s="1339"/>
      <c r="R150" s="1339"/>
      <c r="S150" s="1339"/>
      <c r="T150" s="133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21" t="s">
        <v>2615</v>
      </c>
      <c r="P153" s="1422"/>
      <c r="Q153" s="1422"/>
      <c r="R153" s="1422"/>
      <c r="S153" s="1422"/>
      <c r="T153" s="1422"/>
      <c r="U153" s="1422"/>
      <c r="V153" s="1422"/>
      <c r="W153" s="1422"/>
      <c r="X153" s="1422"/>
      <c r="Y153" s="1422"/>
      <c r="Z153" s="1422"/>
      <c r="AA153" s="1422"/>
      <c r="AB153" s="1422"/>
      <c r="AC153" s="1422"/>
      <c r="AD153" s="1422"/>
      <c r="AE153" s="1422"/>
      <c r="AF153" s="1422"/>
      <c r="AG153" s="1422"/>
      <c r="AH153" s="1422"/>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2" t="s">
        <v>440</v>
      </c>
      <c r="O154" s="1473" t="s">
        <v>2616</v>
      </c>
      <c r="P154" s="1441"/>
      <c r="Q154" s="1441"/>
      <c r="R154" s="1441"/>
      <c r="S154" s="1441"/>
      <c r="T154" s="1441"/>
      <c r="U154" s="1441"/>
      <c r="V154" s="1441"/>
      <c r="W154" s="1441"/>
      <c r="X154" s="1441"/>
      <c r="Y154" s="1441"/>
      <c r="Z154" s="1441"/>
      <c r="AA154" s="1441"/>
      <c r="AB154" s="1441"/>
      <c r="AC154" s="1441"/>
      <c r="AD154" s="1441"/>
      <c r="AE154" s="1441"/>
      <c r="AF154" s="1441"/>
      <c r="AG154" s="1441"/>
      <c r="AH154" s="144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0" t="s">
        <v>441</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21" t="s">
        <v>2617</v>
      </c>
      <c r="P156" s="1376"/>
      <c r="Q156" s="1376"/>
      <c r="R156" s="1376"/>
      <c r="S156" s="1376"/>
      <c r="T156" s="1376"/>
      <c r="U156" s="1376"/>
      <c r="V156" s="1376"/>
      <c r="W156" s="1376"/>
      <c r="X156" s="1376"/>
      <c r="Y156" s="1376"/>
      <c r="Z156" s="1376"/>
      <c r="AA156" s="1376"/>
      <c r="AB156" s="1376"/>
      <c r="AC156" s="1376"/>
      <c r="AD156" s="1376"/>
      <c r="AE156" s="1376"/>
      <c r="AF156" s="1376"/>
      <c r="AG156" s="1376"/>
      <c r="AH156" s="1376"/>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21" t="s">
        <v>2618</v>
      </c>
      <c r="P157" s="1422"/>
      <c r="Q157" s="1422"/>
      <c r="R157" s="1422"/>
      <c r="S157" s="1422"/>
      <c r="T157" s="1422"/>
      <c r="U157" s="1422"/>
      <c r="V157" s="1422"/>
      <c r="W157" s="1422"/>
      <c r="X157" s="1422"/>
      <c r="Y157" s="8"/>
      <c r="Z157" s="8"/>
      <c r="AA157" s="8"/>
      <c r="AB157" s="8"/>
      <c r="AC157" s="8"/>
      <c r="AD157" s="8"/>
      <c r="AE157" s="8"/>
      <c r="AF157" s="8"/>
      <c r="BN157" s="23" t="s">
        <v>637</v>
      </c>
      <c r="BS157">
        <v>2</v>
      </c>
      <c r="BT157" t="s">
        <v>477</v>
      </c>
      <c r="CB157" s="285" t="s">
        <v>648</v>
      </c>
      <c r="CC157" s="196"/>
      <c r="CD157" s="196"/>
      <c r="CE157" s="196"/>
      <c r="CF157" s="196"/>
      <c r="CG157" s="196"/>
      <c r="CH157" s="196"/>
      <c r="CI157" s="3"/>
      <c r="CJ157" s="285"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805">
        <v>91801</v>
      </c>
      <c r="P158" s="1805"/>
      <c r="Q158" s="1805"/>
      <c r="R158" s="1805"/>
      <c r="S158" s="9"/>
      <c r="T158" s="9"/>
      <c r="U158" s="9"/>
      <c r="V158" s="9"/>
      <c r="W158" s="9"/>
      <c r="X158" s="9"/>
      <c r="Y158" s="9"/>
      <c r="Z158" s="9"/>
      <c r="AA158" s="9"/>
      <c r="AB158" s="9"/>
      <c r="AC158" s="9"/>
      <c r="AD158" s="9"/>
      <c r="AE158" s="9"/>
      <c r="AF158" s="9"/>
      <c r="BN158" s="23" t="s">
        <v>638</v>
      </c>
      <c r="BS158">
        <v>7</v>
      </c>
      <c r="BT158" t="s">
        <v>478</v>
      </c>
      <c r="CB158" s="283"/>
      <c r="CC158" s="197"/>
      <c r="CD158" s="284"/>
      <c r="CE158" s="284"/>
      <c r="CF158" s="284"/>
      <c r="CG158" s="284"/>
      <c r="CH158" s="284"/>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90" t="s">
        <v>2619</v>
      </c>
      <c r="P159" s="1793"/>
      <c r="Q159" s="1793"/>
      <c r="R159" s="1793"/>
      <c r="S159" s="1793"/>
      <c r="T159" s="1793"/>
      <c r="V159" s="97" t="s">
        <v>271</v>
      </c>
      <c r="W159" s="1806"/>
      <c r="X159" s="1806"/>
      <c r="Y159" s="10"/>
      <c r="Z159" s="10"/>
      <c r="AA159" s="10"/>
      <c r="AB159" s="10"/>
      <c r="AC159" s="10"/>
      <c r="AD159" s="10"/>
      <c r="AE159" s="10"/>
      <c r="AF159" s="10"/>
      <c r="BN159" s="23" t="s">
        <v>339</v>
      </c>
      <c r="BS159">
        <v>7</v>
      </c>
      <c r="BT159" t="s">
        <v>479</v>
      </c>
      <c r="CB159" s="346" t="s">
        <v>649</v>
      </c>
      <c r="CC159" s="347" t="s">
        <v>324</v>
      </c>
      <c r="CD159" s="347" t="s">
        <v>325</v>
      </c>
      <c r="CE159" s="347" t="s">
        <v>163</v>
      </c>
      <c r="CF159" s="347" t="s">
        <v>164</v>
      </c>
      <c r="CG159" s="347" t="s">
        <v>165</v>
      </c>
      <c r="CH159" s="347" t="s">
        <v>30</v>
      </c>
      <c r="CI159" s="3"/>
      <c r="CJ159" s="347" t="s">
        <v>324</v>
      </c>
      <c r="CK159" s="347" t="s">
        <v>325</v>
      </c>
      <c r="CL159" s="347" t="s">
        <v>163</v>
      </c>
      <c r="CM159" s="347" t="s">
        <v>164</v>
      </c>
      <c r="CN159" s="347"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90" t="s">
        <v>2620</v>
      </c>
      <c r="P160" s="1793"/>
      <c r="Q160" s="1793"/>
      <c r="R160" s="1793"/>
      <c r="S160" s="1793"/>
      <c r="T160" s="1793"/>
      <c r="U160" s="10"/>
      <c r="V160" s="10"/>
      <c r="W160" s="10"/>
      <c r="X160" s="10"/>
      <c r="Y160" s="10"/>
      <c r="Z160" s="10"/>
      <c r="AA160" s="10"/>
      <c r="AB160" s="10"/>
      <c r="AC160" s="10"/>
      <c r="AD160" s="10"/>
      <c r="AE160" s="10"/>
      <c r="AF160" s="10"/>
      <c r="BN160" s="23" t="s">
        <v>661</v>
      </c>
      <c r="BS160">
        <v>6</v>
      </c>
      <c r="BT160" t="s">
        <v>480</v>
      </c>
      <c r="CB160" s="348" t="s">
        <v>477</v>
      </c>
      <c r="CC160" s="456">
        <v>2796</v>
      </c>
      <c r="CD160" s="457">
        <v>2996</v>
      </c>
      <c r="CE160" s="458">
        <v>3596</v>
      </c>
      <c r="CF160" s="457">
        <v>4154</v>
      </c>
      <c r="CG160" s="458">
        <v>4634</v>
      </c>
      <c r="CH160" s="459">
        <v>5114</v>
      </c>
      <c r="CI160" s="3"/>
      <c r="CJ160" s="860">
        <v>1937</v>
      </c>
      <c r="CK160" s="860">
        <v>2201</v>
      </c>
      <c r="CL160" s="860">
        <v>2682</v>
      </c>
      <c r="CM160" s="860">
        <v>3432</v>
      </c>
      <c r="CN160" s="860">
        <v>4077</v>
      </c>
      <c r="CR160" s="23" t="s">
        <v>637</v>
      </c>
      <c r="CS160" s="322">
        <v>473390</v>
      </c>
      <c r="CT160" s="322">
        <v>545814</v>
      </c>
      <c r="CU160" s="322">
        <v>658400</v>
      </c>
      <c r="CV160" s="322">
        <v>842752</v>
      </c>
      <c r="CW160" s="322">
        <v>938878</v>
      </c>
      <c r="CX160" s="14"/>
      <c r="CY160" s="23" t="s">
        <v>637</v>
      </c>
      <c r="CZ160" s="322">
        <v>473390</v>
      </c>
      <c r="DA160" s="322">
        <v>545814</v>
      </c>
      <c r="DB160" s="322">
        <v>658400</v>
      </c>
      <c r="DC160" s="322">
        <v>842752</v>
      </c>
      <c r="DD160" s="322">
        <v>938878</v>
      </c>
    </row>
    <row r="161" spans="1:108" ht="12.95" customHeight="1">
      <c r="D161" t="s">
        <v>318</v>
      </c>
      <c r="O161" s="1797" t="s">
        <v>2621</v>
      </c>
      <c r="P161" s="1797"/>
      <c r="Q161" s="1797"/>
      <c r="R161" s="1797"/>
      <c r="S161" s="1797"/>
      <c r="T161" s="1797"/>
      <c r="U161" s="1797"/>
      <c r="V161" s="1797"/>
      <c r="W161" s="1797"/>
      <c r="X161" s="1797"/>
      <c r="Y161" s="1797"/>
      <c r="Z161" s="1797"/>
      <c r="AA161" s="1797"/>
      <c r="AB161" s="1797"/>
      <c r="AC161" s="1797"/>
      <c r="AD161" s="1797"/>
      <c r="AE161" s="1797"/>
      <c r="AF161" s="1797"/>
      <c r="AG161" s="1797"/>
      <c r="AH161" s="1797"/>
      <c r="BJ161" t="s">
        <v>670</v>
      </c>
      <c r="BN161" s="23" t="s">
        <v>662</v>
      </c>
      <c r="BS161">
        <v>7</v>
      </c>
      <c r="BT161" t="s">
        <v>481</v>
      </c>
      <c r="CB161" s="349" t="s">
        <v>478</v>
      </c>
      <c r="CC161" s="460">
        <v>2020</v>
      </c>
      <c r="CD161" s="461">
        <v>2162</v>
      </c>
      <c r="CE161" s="460">
        <v>2594</v>
      </c>
      <c r="CF161" s="461">
        <v>3000</v>
      </c>
      <c r="CG161" s="461">
        <v>3346</v>
      </c>
      <c r="CH161" s="462">
        <v>3692</v>
      </c>
      <c r="CI161" s="3"/>
      <c r="CJ161" s="860">
        <v>1003</v>
      </c>
      <c r="CK161" s="860">
        <v>1101</v>
      </c>
      <c r="CL161" s="860">
        <v>1445</v>
      </c>
      <c r="CM161" s="860">
        <v>2025</v>
      </c>
      <c r="CN161" s="860">
        <v>2396</v>
      </c>
      <c r="CR161" s="23" t="s">
        <v>638</v>
      </c>
      <c r="CS161" s="320">
        <v>352022</v>
      </c>
      <c r="CT161" s="320">
        <v>405878</v>
      </c>
      <c r="CU161" s="320">
        <v>489600</v>
      </c>
      <c r="CV161" s="320">
        <v>626688</v>
      </c>
      <c r="CW161" s="320">
        <v>698170</v>
      </c>
      <c r="CX161" s="14"/>
      <c r="CY161" s="23" t="s">
        <v>638</v>
      </c>
      <c r="CZ161" s="320">
        <v>352022</v>
      </c>
      <c r="DA161" s="320">
        <v>405878</v>
      </c>
      <c r="DB161" s="320">
        <v>489600</v>
      </c>
      <c r="DC161" s="320">
        <v>626688</v>
      </c>
      <c r="DD161" s="320">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49" t="s">
        <v>479</v>
      </c>
      <c r="CC162" s="463">
        <v>1924</v>
      </c>
      <c r="CD162" s="464">
        <v>2062</v>
      </c>
      <c r="CE162" s="463">
        <v>2474</v>
      </c>
      <c r="CF162" s="464">
        <v>2856</v>
      </c>
      <c r="CG162" s="464">
        <v>3186</v>
      </c>
      <c r="CH162" s="465">
        <v>3516</v>
      </c>
      <c r="CI162" s="3"/>
      <c r="CJ162" s="860">
        <v>1253</v>
      </c>
      <c r="CK162" s="860">
        <v>1260</v>
      </c>
      <c r="CL162" s="860">
        <v>1493</v>
      </c>
      <c r="CM162" s="860">
        <v>2084</v>
      </c>
      <c r="CN162" s="860">
        <v>2507</v>
      </c>
      <c r="CR162" s="23" t="s">
        <v>339</v>
      </c>
      <c r="CS162" s="322">
        <v>352022</v>
      </c>
      <c r="CT162" s="322">
        <v>405878</v>
      </c>
      <c r="CU162" s="322">
        <v>489600</v>
      </c>
      <c r="CV162" s="322">
        <v>626688</v>
      </c>
      <c r="CW162" s="322">
        <v>698170</v>
      </c>
      <c r="CX162" s="14"/>
      <c r="CY162" s="23" t="s">
        <v>339</v>
      </c>
      <c r="CZ162" s="322">
        <v>352022</v>
      </c>
      <c r="DA162" s="322">
        <v>405878</v>
      </c>
      <c r="DB162" s="322">
        <v>489600</v>
      </c>
      <c r="DC162" s="322">
        <v>626688</v>
      </c>
      <c r="DD162" s="322">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49" t="s">
        <v>480</v>
      </c>
      <c r="CC163" s="463">
        <v>1644</v>
      </c>
      <c r="CD163" s="464">
        <v>1762</v>
      </c>
      <c r="CE163" s="463">
        <v>2114</v>
      </c>
      <c r="CF163" s="464">
        <v>2442</v>
      </c>
      <c r="CG163" s="464">
        <v>2724</v>
      </c>
      <c r="CH163" s="465">
        <v>3006</v>
      </c>
      <c r="CI163" s="3"/>
      <c r="CJ163" s="860">
        <v>1069</v>
      </c>
      <c r="CK163" s="860">
        <v>1126</v>
      </c>
      <c r="CL163" s="860">
        <v>1466</v>
      </c>
      <c r="CM163" s="860">
        <v>2054</v>
      </c>
      <c r="CN163" s="860">
        <v>2462</v>
      </c>
      <c r="CR163" s="23" t="s">
        <v>661</v>
      </c>
      <c r="CS163" s="320">
        <v>319236</v>
      </c>
      <c r="CT163" s="320">
        <v>368076</v>
      </c>
      <c r="CU163" s="320">
        <v>444000</v>
      </c>
      <c r="CV163" s="320">
        <v>568320</v>
      </c>
      <c r="CW163" s="320">
        <v>633144</v>
      </c>
      <c r="CX163" s="14"/>
      <c r="CY163" s="23" t="s">
        <v>661</v>
      </c>
      <c r="CZ163" s="320">
        <v>319236</v>
      </c>
      <c r="DA163" s="320">
        <v>368076</v>
      </c>
      <c r="DB163" s="320">
        <v>444000</v>
      </c>
      <c r="DC163" s="320">
        <v>568320</v>
      </c>
      <c r="DD163" s="320">
        <v>633144</v>
      </c>
    </row>
    <row r="164" spans="1:108" ht="12.95" customHeight="1">
      <c r="C164" s="27"/>
      <c r="D164" s="1815" t="s">
        <v>2218</v>
      </c>
      <c r="E164" s="1815"/>
      <c r="F164" s="1815"/>
      <c r="G164" s="1815"/>
      <c r="H164" s="1815"/>
      <c r="I164" s="1815"/>
      <c r="J164" s="1815"/>
      <c r="K164" s="1815"/>
      <c r="L164" s="1815"/>
      <c r="M164" s="1815"/>
      <c r="N164" s="1815"/>
      <c r="O164" s="1815"/>
      <c r="P164" s="1815"/>
      <c r="Q164" s="1815"/>
      <c r="R164" s="1815"/>
      <c r="S164" s="1815"/>
      <c r="T164" s="1815"/>
      <c r="U164" s="1815"/>
      <c r="V164" s="1815"/>
      <c r="W164" s="1815"/>
      <c r="X164" s="1815"/>
      <c r="Y164" s="1815"/>
      <c r="Z164" s="1815"/>
      <c r="AA164" s="1815"/>
      <c r="AB164" s="1815"/>
      <c r="AC164" s="1815"/>
      <c r="AD164" s="1815"/>
      <c r="AE164" s="1815"/>
      <c r="AF164" s="1815"/>
      <c r="AG164" s="1815"/>
      <c r="AH164" s="1815"/>
      <c r="BN164" s="23" t="s">
        <v>665</v>
      </c>
      <c r="BS164">
        <v>7</v>
      </c>
      <c r="BT164" t="s">
        <v>484</v>
      </c>
      <c r="CB164" s="349" t="s">
        <v>481</v>
      </c>
      <c r="CC164" s="463">
        <v>1776</v>
      </c>
      <c r="CD164" s="464">
        <v>1902</v>
      </c>
      <c r="CE164" s="463">
        <v>2284</v>
      </c>
      <c r="CF164" s="464">
        <v>2640</v>
      </c>
      <c r="CG164" s="464">
        <v>2944</v>
      </c>
      <c r="CH164" s="465">
        <v>3248</v>
      </c>
      <c r="CI164" s="3"/>
      <c r="CJ164" s="860">
        <v>989</v>
      </c>
      <c r="CK164" s="860">
        <v>1086</v>
      </c>
      <c r="CL164" s="860">
        <v>1425</v>
      </c>
      <c r="CM164" s="860">
        <v>1997</v>
      </c>
      <c r="CN164" s="860">
        <v>2195</v>
      </c>
      <c r="CR164" s="23" t="s">
        <v>662</v>
      </c>
      <c r="CS164" s="322">
        <v>352022</v>
      </c>
      <c r="CT164" s="322">
        <v>405878</v>
      </c>
      <c r="CU164" s="322">
        <v>489600</v>
      </c>
      <c r="CV164" s="322">
        <v>626688</v>
      </c>
      <c r="CW164" s="322">
        <v>698170</v>
      </c>
      <c r="CX164" s="14"/>
      <c r="CY164" s="23" t="s">
        <v>662</v>
      </c>
      <c r="CZ164" s="322">
        <v>352022</v>
      </c>
      <c r="DA164" s="322">
        <v>405878</v>
      </c>
      <c r="DB164" s="322">
        <v>489600</v>
      </c>
      <c r="DC164" s="322">
        <v>626688</v>
      </c>
      <c r="DD164" s="322">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49" t="s">
        <v>482</v>
      </c>
      <c r="CC165" s="463">
        <v>1680</v>
      </c>
      <c r="CD165" s="464">
        <v>1800</v>
      </c>
      <c r="CE165" s="463">
        <v>2160</v>
      </c>
      <c r="CF165" s="464">
        <v>2496</v>
      </c>
      <c r="CG165" s="464">
        <v>2784</v>
      </c>
      <c r="CH165" s="465">
        <v>3072</v>
      </c>
      <c r="CI165" s="3"/>
      <c r="CJ165" s="860">
        <v>915</v>
      </c>
      <c r="CK165" s="860">
        <v>921</v>
      </c>
      <c r="CL165" s="860">
        <v>1208</v>
      </c>
      <c r="CM165" s="860">
        <v>1625</v>
      </c>
      <c r="CN165" s="860">
        <v>1631</v>
      </c>
      <c r="CR165" s="23" t="s">
        <v>663</v>
      </c>
      <c r="CS165" s="320">
        <v>352022</v>
      </c>
      <c r="CT165" s="320">
        <v>405878</v>
      </c>
      <c r="CU165" s="320">
        <v>489600</v>
      </c>
      <c r="CV165" s="320">
        <v>626688</v>
      </c>
      <c r="CW165" s="320">
        <v>698170</v>
      </c>
      <c r="CX165" s="14"/>
      <c r="CY165" s="23" t="s">
        <v>663</v>
      </c>
      <c r="CZ165" s="320">
        <v>352022</v>
      </c>
      <c r="DA165" s="320">
        <v>405878</v>
      </c>
      <c r="DB165" s="320">
        <v>489600</v>
      </c>
      <c r="DC165" s="320">
        <v>626688</v>
      </c>
      <c r="DD165" s="320">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49" t="s">
        <v>483</v>
      </c>
      <c r="CC166" s="463">
        <v>2796</v>
      </c>
      <c r="CD166" s="464">
        <v>2996</v>
      </c>
      <c r="CE166" s="463">
        <v>3596</v>
      </c>
      <c r="CF166" s="464">
        <v>4154</v>
      </c>
      <c r="CG166" s="464">
        <v>4634</v>
      </c>
      <c r="CH166" s="465">
        <v>5114</v>
      </c>
      <c r="CI166" s="3"/>
      <c r="CJ166" s="860">
        <v>1937</v>
      </c>
      <c r="CK166" s="860">
        <v>2201</v>
      </c>
      <c r="CL166" s="860">
        <v>2682</v>
      </c>
      <c r="CM166" s="860">
        <v>3432</v>
      </c>
      <c r="CN166" s="860">
        <v>4077</v>
      </c>
      <c r="CR166" s="23" t="s">
        <v>664</v>
      </c>
      <c r="CS166" s="322">
        <v>473390</v>
      </c>
      <c r="CT166" s="322">
        <v>545814</v>
      </c>
      <c r="CU166" s="322">
        <v>658400</v>
      </c>
      <c r="CV166" s="322">
        <v>842752</v>
      </c>
      <c r="CW166" s="322">
        <v>938878</v>
      </c>
      <c r="CX166" s="14"/>
      <c r="CY166" s="23" t="s">
        <v>664</v>
      </c>
      <c r="CZ166" s="322">
        <v>473390</v>
      </c>
      <c r="DA166" s="322">
        <v>545814</v>
      </c>
      <c r="DB166" s="322">
        <v>658400</v>
      </c>
      <c r="DC166" s="322">
        <v>842752</v>
      </c>
      <c r="DD166" s="322">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49" t="s">
        <v>484</v>
      </c>
      <c r="CC167" s="463">
        <v>1644</v>
      </c>
      <c r="CD167" s="464">
        <v>1762</v>
      </c>
      <c r="CE167" s="463">
        <v>2114</v>
      </c>
      <c r="CF167" s="464">
        <v>2442</v>
      </c>
      <c r="CG167" s="464">
        <v>2724</v>
      </c>
      <c r="CH167" s="465">
        <v>3006</v>
      </c>
      <c r="CI167" s="3"/>
      <c r="CJ167" s="860">
        <v>869</v>
      </c>
      <c r="CK167" s="860">
        <v>1086</v>
      </c>
      <c r="CL167" s="860">
        <v>1253</v>
      </c>
      <c r="CM167" s="860">
        <v>1756</v>
      </c>
      <c r="CN167" s="860">
        <v>2104</v>
      </c>
      <c r="CR167" s="23" t="s">
        <v>665</v>
      </c>
      <c r="CS167" s="320">
        <v>352022</v>
      </c>
      <c r="CT167" s="320">
        <v>405878</v>
      </c>
      <c r="CU167" s="320">
        <v>489600</v>
      </c>
      <c r="CV167" s="320">
        <v>626688</v>
      </c>
      <c r="CW167" s="320">
        <v>698170</v>
      </c>
      <c r="CX167" s="14"/>
      <c r="CY167" s="23" t="s">
        <v>665</v>
      </c>
      <c r="CZ167" s="320">
        <v>352022</v>
      </c>
      <c r="DA167" s="320">
        <v>405878</v>
      </c>
      <c r="DB167" s="320">
        <v>489600</v>
      </c>
      <c r="DC167" s="320">
        <v>626688</v>
      </c>
      <c r="DD167" s="320">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49" t="s">
        <v>485</v>
      </c>
      <c r="CC168" s="463">
        <v>2252</v>
      </c>
      <c r="CD168" s="464">
        <v>2412</v>
      </c>
      <c r="CE168" s="463">
        <v>2894</v>
      </c>
      <c r="CF168" s="464">
        <v>3342</v>
      </c>
      <c r="CG168" s="464">
        <v>3730</v>
      </c>
      <c r="CH168" s="465">
        <v>4116</v>
      </c>
      <c r="CI168" s="3"/>
      <c r="CJ168" s="860">
        <v>1679</v>
      </c>
      <c r="CK168" s="860">
        <v>1777</v>
      </c>
      <c r="CL168" s="860">
        <v>2206</v>
      </c>
      <c r="CM168" s="860">
        <v>2992</v>
      </c>
      <c r="CN168" s="860">
        <v>3455</v>
      </c>
      <c r="CR168" s="23" t="s">
        <v>666</v>
      </c>
      <c r="CS168" s="322">
        <v>331890</v>
      </c>
      <c r="CT168" s="322">
        <v>382666</v>
      </c>
      <c r="CU168" s="322">
        <v>461600</v>
      </c>
      <c r="CV168" s="322">
        <v>590848</v>
      </c>
      <c r="CW168" s="322">
        <v>658242</v>
      </c>
      <c r="CX168" s="14"/>
      <c r="CY168" s="23" t="s">
        <v>666</v>
      </c>
      <c r="CZ168" s="322">
        <v>331890</v>
      </c>
      <c r="DA168" s="322">
        <v>382666</v>
      </c>
      <c r="DB168" s="322">
        <v>461600</v>
      </c>
      <c r="DC168" s="322">
        <v>590848</v>
      </c>
      <c r="DD168" s="322">
        <v>658242</v>
      </c>
    </row>
    <row r="169" spans="1:108" ht="12.95" customHeight="1">
      <c r="A169" s="1427" t="s">
        <v>540</v>
      </c>
      <c r="B169" s="1427"/>
      <c r="C169" s="1427"/>
      <c r="D169" s="1427"/>
      <c r="E169" s="1427"/>
      <c r="F169" s="1427"/>
      <c r="G169" s="1427"/>
      <c r="H169" s="1427"/>
      <c r="I169" s="1427"/>
      <c r="J169" s="1427"/>
      <c r="K169" s="1427"/>
      <c r="L169" s="1427"/>
      <c r="M169" s="1427"/>
      <c r="N169" s="1427"/>
      <c r="O169" s="1427"/>
      <c r="P169" s="1427"/>
      <c r="Q169" s="1427"/>
      <c r="R169" s="1427"/>
      <c r="S169" s="1427"/>
      <c r="T169" s="1427"/>
      <c r="U169" s="1427"/>
      <c r="V169" s="1427"/>
      <c r="W169" s="1427"/>
      <c r="X169" s="1427"/>
      <c r="Y169" s="1427"/>
      <c r="Z169" s="1427"/>
      <c r="AA169" s="1427"/>
      <c r="AB169" s="1427"/>
      <c r="AC169" s="1427"/>
      <c r="AD169" s="1427"/>
      <c r="AE169" s="1427"/>
      <c r="AF169" s="1427"/>
      <c r="AG169" s="1427"/>
      <c r="AH169" s="1427"/>
      <c r="AI169" s="1427"/>
      <c r="AJ169" s="1427"/>
      <c r="AK169" s="1427"/>
      <c r="AL169" s="1427"/>
      <c r="AM169" s="1427"/>
      <c r="AN169" s="1427"/>
      <c r="AO169" s="1427"/>
      <c r="AP169" s="1427"/>
      <c r="AQ169" s="1427"/>
      <c r="AR169" s="1427"/>
      <c r="AS169" s="1427"/>
      <c r="AT169" s="1427"/>
      <c r="AU169" s="95"/>
      <c r="AV169" s="95"/>
      <c r="AW169" s="95"/>
      <c r="AX169" s="95"/>
      <c r="AY169" s="95"/>
      <c r="BN169" s="23" t="s">
        <v>674</v>
      </c>
      <c r="BS169">
        <v>5</v>
      </c>
      <c r="BT169" t="s">
        <v>489</v>
      </c>
      <c r="CB169" s="349" t="s">
        <v>486</v>
      </c>
      <c r="CC169" s="463">
        <v>1644</v>
      </c>
      <c r="CD169" s="464">
        <v>1762</v>
      </c>
      <c r="CE169" s="463">
        <v>2114</v>
      </c>
      <c r="CF169" s="464">
        <v>2442</v>
      </c>
      <c r="CG169" s="464">
        <v>2724</v>
      </c>
      <c r="CH169" s="465">
        <v>3006</v>
      </c>
      <c r="CI169" s="3"/>
      <c r="CJ169" s="860">
        <v>1210</v>
      </c>
      <c r="CK169" s="860">
        <v>1217</v>
      </c>
      <c r="CL169" s="860">
        <v>1505</v>
      </c>
      <c r="CM169" s="860">
        <v>2109</v>
      </c>
      <c r="CN169" s="860">
        <v>2415</v>
      </c>
      <c r="CR169" s="23" t="s">
        <v>668</v>
      </c>
      <c r="CS169" s="320">
        <v>307732</v>
      </c>
      <c r="CT169" s="320">
        <v>354812</v>
      </c>
      <c r="CU169" s="320">
        <v>428000</v>
      </c>
      <c r="CV169" s="320">
        <v>547840</v>
      </c>
      <c r="CW169" s="320">
        <v>610328</v>
      </c>
      <c r="CX169" s="14"/>
      <c r="CY169" s="23" t="s">
        <v>668</v>
      </c>
      <c r="CZ169" s="320">
        <v>307732</v>
      </c>
      <c r="DA169" s="320">
        <v>354812</v>
      </c>
      <c r="DB169" s="320">
        <v>428000</v>
      </c>
      <c r="DC169" s="320">
        <v>547840</v>
      </c>
      <c r="DD169" s="320">
        <v>610328</v>
      </c>
    </row>
    <row r="170" spans="1:108" ht="12.95" customHeight="1">
      <c r="A170" s="1427"/>
      <c r="B170" s="1427"/>
      <c r="C170" s="1427"/>
      <c r="D170" s="1427"/>
      <c r="E170" s="1427"/>
      <c r="F170" s="1427"/>
      <c r="G170" s="1427"/>
      <c r="H170" s="1427"/>
      <c r="I170" s="1427"/>
      <c r="J170" s="1427"/>
      <c r="K170" s="1427"/>
      <c r="L170" s="1427"/>
      <c r="M170" s="1427"/>
      <c r="N170" s="1427"/>
      <c r="O170" s="1427"/>
      <c r="P170" s="1427"/>
      <c r="Q170" s="1427"/>
      <c r="R170" s="1427"/>
      <c r="S170" s="1427"/>
      <c r="T170" s="1427"/>
      <c r="U170" s="1427"/>
      <c r="V170" s="1427"/>
      <c r="W170" s="1427"/>
      <c r="X170" s="1427"/>
      <c r="Y170" s="1427"/>
      <c r="Z170" s="1427"/>
      <c r="AA170" s="1427"/>
      <c r="AB170" s="1427"/>
      <c r="AC170" s="1427"/>
      <c r="AD170" s="1427"/>
      <c r="AE170" s="1427"/>
      <c r="AF170" s="1427"/>
      <c r="AG170" s="1427"/>
      <c r="AH170" s="1427"/>
      <c r="AI170" s="1427"/>
      <c r="AJ170" s="1427"/>
      <c r="AK170" s="1427"/>
      <c r="AL170" s="1427"/>
      <c r="AM170" s="1427"/>
      <c r="AN170" s="1427"/>
      <c r="AO170" s="1427"/>
      <c r="AP170" s="1427"/>
      <c r="AQ170" s="1427"/>
      <c r="AR170" s="1427"/>
      <c r="AS170" s="1427"/>
      <c r="AT170" s="1427"/>
      <c r="AU170" s="95"/>
      <c r="AV170" s="95"/>
      <c r="AW170" s="95"/>
      <c r="AX170" s="95"/>
      <c r="AY170" s="95"/>
      <c r="BN170" s="23" t="s">
        <v>675</v>
      </c>
      <c r="BS170">
        <v>7</v>
      </c>
      <c r="BT170" t="s">
        <v>490</v>
      </c>
      <c r="CB170" s="349" t="s">
        <v>487</v>
      </c>
      <c r="CC170" s="463">
        <v>1644</v>
      </c>
      <c r="CD170" s="464">
        <v>1762</v>
      </c>
      <c r="CE170" s="463">
        <v>2114</v>
      </c>
      <c r="CF170" s="464">
        <v>2442</v>
      </c>
      <c r="CG170" s="464">
        <v>2724</v>
      </c>
      <c r="CH170" s="465">
        <v>3006</v>
      </c>
      <c r="CI170" s="3"/>
      <c r="CJ170" s="860">
        <v>841</v>
      </c>
      <c r="CK170" s="860">
        <v>935</v>
      </c>
      <c r="CL170" s="860">
        <v>1227</v>
      </c>
      <c r="CM170" s="860">
        <v>1631</v>
      </c>
      <c r="CN170" s="860">
        <v>2060</v>
      </c>
      <c r="CR170" s="23" t="s">
        <v>671</v>
      </c>
      <c r="CS170" s="322">
        <v>352022</v>
      </c>
      <c r="CT170" s="322">
        <v>405878</v>
      </c>
      <c r="CU170" s="322">
        <v>489600</v>
      </c>
      <c r="CV170" s="322">
        <v>626688</v>
      </c>
      <c r="CW170" s="322">
        <v>698170</v>
      </c>
      <c r="CX170" s="14"/>
      <c r="CY170" s="23" t="s">
        <v>671</v>
      </c>
      <c r="CZ170" s="322">
        <v>352022</v>
      </c>
      <c r="DA170" s="322">
        <v>405878</v>
      </c>
      <c r="DB170" s="322">
        <v>489600</v>
      </c>
      <c r="DC170" s="322">
        <v>626688</v>
      </c>
      <c r="DD170" s="322">
        <v>698170</v>
      </c>
    </row>
    <row r="171" spans="1:108" ht="12.95" customHeight="1">
      <c r="BN171" s="23" t="s">
        <v>211</v>
      </c>
      <c r="BS171">
        <v>5</v>
      </c>
      <c r="BT171" t="s">
        <v>491</v>
      </c>
      <c r="CB171" s="349" t="s">
        <v>488</v>
      </c>
      <c r="CC171" s="463">
        <v>1644</v>
      </c>
      <c r="CD171" s="464">
        <v>1762</v>
      </c>
      <c r="CE171" s="463">
        <v>2114</v>
      </c>
      <c r="CF171" s="464">
        <v>2442</v>
      </c>
      <c r="CG171" s="464">
        <v>2724</v>
      </c>
      <c r="CH171" s="465">
        <v>3006</v>
      </c>
      <c r="CI171" s="3"/>
      <c r="CJ171" s="860">
        <v>1065</v>
      </c>
      <c r="CK171" s="860">
        <v>1132</v>
      </c>
      <c r="CL171" s="860">
        <v>1478</v>
      </c>
      <c r="CM171" s="860">
        <v>2071</v>
      </c>
      <c r="CN171" s="860">
        <v>2482</v>
      </c>
      <c r="CR171" s="23" t="s">
        <v>672</v>
      </c>
      <c r="CS171" s="320">
        <v>352022</v>
      </c>
      <c r="CT171" s="320">
        <v>405878</v>
      </c>
      <c r="CU171" s="320">
        <v>489600</v>
      </c>
      <c r="CV171" s="320">
        <v>626688</v>
      </c>
      <c r="CW171" s="320">
        <v>698170</v>
      </c>
      <c r="CX171" s="14"/>
      <c r="CY171" s="23" t="s">
        <v>672</v>
      </c>
      <c r="CZ171" s="320">
        <v>352022</v>
      </c>
      <c r="DA171" s="320">
        <v>405878</v>
      </c>
      <c r="DB171" s="320">
        <v>489600</v>
      </c>
      <c r="DC171" s="320">
        <v>626688</v>
      </c>
      <c r="DD171" s="320">
        <v>698170</v>
      </c>
    </row>
    <row r="172" spans="1:108" ht="12.95" customHeight="1">
      <c r="A172" s="2" t="s">
        <v>319</v>
      </c>
      <c r="C172" s="2" t="s">
        <v>320</v>
      </c>
      <c r="BN172" s="23" t="s">
        <v>213</v>
      </c>
      <c r="BS172">
        <v>5</v>
      </c>
      <c r="BT172" t="s">
        <v>492</v>
      </c>
      <c r="CB172" s="349" t="s">
        <v>489</v>
      </c>
      <c r="CC172" s="463">
        <v>1644</v>
      </c>
      <c r="CD172" s="464">
        <v>1762</v>
      </c>
      <c r="CE172" s="463">
        <v>2114</v>
      </c>
      <c r="CF172" s="464">
        <v>2442</v>
      </c>
      <c r="CG172" s="464">
        <v>2724</v>
      </c>
      <c r="CH172" s="465">
        <v>3006</v>
      </c>
      <c r="CI172" s="3"/>
      <c r="CJ172" s="860">
        <v>940</v>
      </c>
      <c r="CK172" s="860">
        <v>1056</v>
      </c>
      <c r="CL172" s="860">
        <v>1371</v>
      </c>
      <c r="CM172" s="860">
        <v>1873</v>
      </c>
      <c r="CN172" s="860">
        <v>2287</v>
      </c>
      <c r="CR172" s="23" t="s">
        <v>674</v>
      </c>
      <c r="CS172" s="322">
        <v>324988</v>
      </c>
      <c r="CT172" s="322">
        <v>374708</v>
      </c>
      <c r="CU172" s="322">
        <v>452000</v>
      </c>
      <c r="CV172" s="322">
        <v>578560</v>
      </c>
      <c r="CW172" s="322">
        <v>644552</v>
      </c>
      <c r="CX172" s="14"/>
      <c r="CY172" s="23" t="s">
        <v>674</v>
      </c>
      <c r="CZ172" s="322">
        <v>324988</v>
      </c>
      <c r="DA172" s="322">
        <v>374708</v>
      </c>
      <c r="DB172" s="322">
        <v>452000</v>
      </c>
      <c r="DC172" s="322">
        <v>578560</v>
      </c>
      <c r="DD172" s="322">
        <v>644552</v>
      </c>
    </row>
    <row r="173" spans="1:108" ht="12.95" customHeight="1">
      <c r="C173" s="24"/>
      <c r="D173" t="s">
        <v>321</v>
      </c>
      <c r="J173" s="1809" t="s">
        <v>371</v>
      </c>
      <c r="K173" s="1809"/>
      <c r="L173" s="1809"/>
      <c r="M173" s="1809"/>
      <c r="N173" s="1809"/>
      <c r="O173" s="1809"/>
      <c r="P173" s="1809"/>
      <c r="Q173" s="1809"/>
      <c r="R173" s="1809"/>
      <c r="S173" s="1809"/>
      <c r="U173" s="25"/>
      <c r="X173" s="25"/>
      <c r="BB173" s="3" t="s">
        <v>307</v>
      </c>
      <c r="BN173" s="23" t="s">
        <v>214</v>
      </c>
      <c r="BS173">
        <v>7</v>
      </c>
      <c r="BT173" t="s">
        <v>493</v>
      </c>
      <c r="CB173" s="349" t="s">
        <v>490</v>
      </c>
      <c r="CC173" s="463">
        <v>1680</v>
      </c>
      <c r="CD173" s="464">
        <v>1800</v>
      </c>
      <c r="CE173" s="463">
        <v>2160</v>
      </c>
      <c r="CF173" s="464">
        <v>2496</v>
      </c>
      <c r="CG173" s="464">
        <v>2784</v>
      </c>
      <c r="CH173" s="465">
        <v>3072</v>
      </c>
      <c r="CI173" s="3"/>
      <c r="CJ173" s="860">
        <v>978</v>
      </c>
      <c r="CK173" s="860">
        <v>1254</v>
      </c>
      <c r="CL173" s="860">
        <v>1426</v>
      </c>
      <c r="CM173" s="860">
        <v>1734</v>
      </c>
      <c r="CN173" s="860">
        <v>2365</v>
      </c>
      <c r="CR173" s="23" t="s">
        <v>675</v>
      </c>
      <c r="CS173" s="320">
        <v>352022</v>
      </c>
      <c r="CT173" s="320">
        <v>405878</v>
      </c>
      <c r="CU173" s="320">
        <v>489600</v>
      </c>
      <c r="CV173" s="320">
        <v>626688</v>
      </c>
      <c r="CW173" s="320">
        <v>698170</v>
      </c>
      <c r="CX173" s="14"/>
      <c r="CY173" s="23" t="s">
        <v>675</v>
      </c>
      <c r="CZ173" s="320">
        <v>352022</v>
      </c>
      <c r="DA173" s="320">
        <v>405878</v>
      </c>
      <c r="DB173" s="320">
        <v>489600</v>
      </c>
      <c r="DC173" s="320">
        <v>626688</v>
      </c>
      <c r="DD173" s="320">
        <v>698170</v>
      </c>
    </row>
    <row r="174" spans="1:108" ht="12.95" customHeight="1">
      <c r="C174" s="24"/>
      <c r="D174" s="3" t="s">
        <v>1203</v>
      </c>
      <c r="J174" s="1376" t="s">
        <v>2103</v>
      </c>
      <c r="K174" s="1376"/>
      <c r="L174" s="1376"/>
      <c r="M174" s="1376"/>
      <c r="N174" s="1376"/>
      <c r="O174" s="1376"/>
      <c r="P174" s="1376"/>
      <c r="Q174" s="1376"/>
      <c r="R174" s="1376"/>
      <c r="S174" s="1376"/>
      <c r="T174" s="1376"/>
      <c r="U174" s="1376"/>
      <c r="V174" s="1376"/>
      <c r="W174" s="1376"/>
      <c r="X174" s="1376"/>
      <c r="Y174" s="1376"/>
      <c r="Z174" s="1376"/>
      <c r="AA174" s="1376"/>
      <c r="AB174" s="1376"/>
      <c r="BB174" t="s">
        <v>1971</v>
      </c>
      <c r="BN174" s="23" t="s">
        <v>216</v>
      </c>
      <c r="BS174">
        <v>7</v>
      </c>
      <c r="BT174" t="s">
        <v>494</v>
      </c>
      <c r="CB174" s="349" t="s">
        <v>491</v>
      </c>
      <c r="CC174" s="463">
        <v>1644</v>
      </c>
      <c r="CD174" s="464">
        <v>1762</v>
      </c>
      <c r="CE174" s="463">
        <v>2114</v>
      </c>
      <c r="CF174" s="464">
        <v>2442</v>
      </c>
      <c r="CG174" s="464">
        <v>2724</v>
      </c>
      <c r="CH174" s="465">
        <v>3006</v>
      </c>
      <c r="CI174" s="3"/>
      <c r="CJ174" s="860">
        <v>1058</v>
      </c>
      <c r="CK174" s="860">
        <v>1064</v>
      </c>
      <c r="CL174" s="860">
        <v>1380</v>
      </c>
      <c r="CM174" s="860">
        <v>1934</v>
      </c>
      <c r="CN174" s="860">
        <v>2317</v>
      </c>
      <c r="CR174" s="23" t="s">
        <v>211</v>
      </c>
      <c r="CS174" s="322">
        <v>307732</v>
      </c>
      <c r="CT174" s="322">
        <v>354812</v>
      </c>
      <c r="CU174" s="322">
        <v>428000</v>
      </c>
      <c r="CV174" s="322">
        <v>547840</v>
      </c>
      <c r="CW174" s="322">
        <v>610328</v>
      </c>
      <c r="CX174" s="14"/>
      <c r="CY174" s="23" t="s">
        <v>211</v>
      </c>
      <c r="CZ174" s="322">
        <v>307732</v>
      </c>
      <c r="DA174" s="322">
        <v>354812</v>
      </c>
      <c r="DB174" s="322">
        <v>428000</v>
      </c>
      <c r="DC174" s="322">
        <v>547840</v>
      </c>
      <c r="DD174" s="322">
        <v>610328</v>
      </c>
    </row>
    <row r="175" spans="1:108" ht="12.95" customHeight="1">
      <c r="C175" s="8"/>
      <c r="D175" s="3" t="s">
        <v>322</v>
      </c>
      <c r="O175" s="27"/>
      <c r="U175" s="1336" t="s">
        <v>670</v>
      </c>
      <c r="V175" s="1336"/>
      <c r="BB175" t="s">
        <v>1939</v>
      </c>
      <c r="BN175" s="23" t="s">
        <v>217</v>
      </c>
      <c r="BS175">
        <v>1</v>
      </c>
      <c r="BT175" t="s">
        <v>495</v>
      </c>
      <c r="CB175" s="349" t="s">
        <v>492</v>
      </c>
      <c r="CC175" s="463">
        <v>1644</v>
      </c>
      <c r="CD175" s="464">
        <v>1762</v>
      </c>
      <c r="CE175" s="463">
        <v>2114</v>
      </c>
      <c r="CF175" s="464">
        <v>2442</v>
      </c>
      <c r="CG175" s="464">
        <v>2724</v>
      </c>
      <c r="CH175" s="465">
        <v>3006</v>
      </c>
      <c r="CI175" s="3"/>
      <c r="CJ175" s="860">
        <v>1151</v>
      </c>
      <c r="CK175" s="860">
        <v>1158</v>
      </c>
      <c r="CL175" s="860">
        <v>1445</v>
      </c>
      <c r="CM175" s="860">
        <v>2025</v>
      </c>
      <c r="CN175" s="860">
        <v>2427</v>
      </c>
      <c r="CR175" s="23" t="s">
        <v>213</v>
      </c>
      <c r="CS175" s="320">
        <v>307732</v>
      </c>
      <c r="CT175" s="320">
        <v>354812</v>
      </c>
      <c r="CU175" s="320">
        <v>428000</v>
      </c>
      <c r="CV175" s="320">
        <v>547840</v>
      </c>
      <c r="CW175" s="320">
        <v>610328</v>
      </c>
      <c r="CX175" s="14"/>
      <c r="CY175" s="23" t="s">
        <v>213</v>
      </c>
      <c r="CZ175" s="320">
        <v>307732</v>
      </c>
      <c r="DA175" s="320">
        <v>354812</v>
      </c>
      <c r="DB175" s="320">
        <v>428000</v>
      </c>
      <c r="DC175" s="320">
        <v>547840</v>
      </c>
      <c r="DD175" s="320">
        <v>610328</v>
      </c>
    </row>
    <row r="176" spans="1:108" ht="12.95" customHeight="1">
      <c r="C176" s="8"/>
      <c r="D176" s="26"/>
      <c r="E176" t="s">
        <v>304</v>
      </c>
      <c r="O176" s="27"/>
      <c r="P176" t="s">
        <v>2081</v>
      </c>
      <c r="T176" s="27" t="s">
        <v>305</v>
      </c>
      <c r="U176" s="1430"/>
      <c r="V176" s="1430"/>
      <c r="W176" s="1" t="s">
        <v>306</v>
      </c>
      <c r="X176" s="1796"/>
      <c r="Y176" s="1796"/>
      <c r="BB176" t="s">
        <v>1972</v>
      </c>
      <c r="BN176" s="23" t="s">
        <v>219</v>
      </c>
      <c r="BS176">
        <v>5</v>
      </c>
      <c r="BT176" t="s">
        <v>496</v>
      </c>
      <c r="CB176" s="349" t="s">
        <v>493</v>
      </c>
      <c r="CC176" s="463">
        <v>1644</v>
      </c>
      <c r="CD176" s="464">
        <v>1762</v>
      </c>
      <c r="CE176" s="463">
        <v>2114</v>
      </c>
      <c r="CF176" s="464">
        <v>2442</v>
      </c>
      <c r="CG176" s="464">
        <v>2724</v>
      </c>
      <c r="CH176" s="465">
        <v>3006</v>
      </c>
      <c r="CI176" s="3"/>
      <c r="CJ176" s="860">
        <v>1053</v>
      </c>
      <c r="CK176" s="860">
        <v>1060</v>
      </c>
      <c r="CL176" s="860">
        <v>1390</v>
      </c>
      <c r="CM176" s="860">
        <v>1948</v>
      </c>
      <c r="CN176" s="860">
        <v>2334</v>
      </c>
      <c r="CR176" s="23" t="s">
        <v>214</v>
      </c>
      <c r="CS176" s="322">
        <v>352022</v>
      </c>
      <c r="CT176" s="322">
        <v>405878</v>
      </c>
      <c r="CU176" s="322">
        <v>489600</v>
      </c>
      <c r="CV176" s="322">
        <v>626688</v>
      </c>
      <c r="CW176" s="322">
        <v>698170</v>
      </c>
      <c r="CX176" s="14"/>
      <c r="CY176" s="23" t="s">
        <v>214</v>
      </c>
      <c r="CZ176" s="322">
        <v>352022</v>
      </c>
      <c r="DA176" s="322">
        <v>405878</v>
      </c>
      <c r="DB176" s="322">
        <v>489600</v>
      </c>
      <c r="DC176" s="322">
        <v>626688</v>
      </c>
      <c r="DD176" s="322">
        <v>698170</v>
      </c>
    </row>
    <row r="177" spans="1:108" ht="12.95" customHeight="1">
      <c r="C177" s="24"/>
      <c r="D177" t="s">
        <v>249</v>
      </c>
      <c r="R177" s="1336" t="s">
        <v>670</v>
      </c>
      <c r="S177" s="1336"/>
      <c r="BB177" t="s">
        <v>2215</v>
      </c>
      <c r="BN177" s="23" t="s">
        <v>220</v>
      </c>
      <c r="BS177">
        <v>2</v>
      </c>
      <c r="BT177" t="s">
        <v>497</v>
      </c>
      <c r="CB177" s="349" t="s">
        <v>494</v>
      </c>
      <c r="CC177" s="463">
        <v>1644</v>
      </c>
      <c r="CD177" s="464">
        <v>1762</v>
      </c>
      <c r="CE177" s="463">
        <v>2114</v>
      </c>
      <c r="CF177" s="464">
        <v>2442</v>
      </c>
      <c r="CG177" s="464">
        <v>2724</v>
      </c>
      <c r="CH177" s="465">
        <v>3006</v>
      </c>
      <c r="CI177" s="3"/>
      <c r="CJ177" s="860">
        <v>819</v>
      </c>
      <c r="CK177" s="860">
        <v>910</v>
      </c>
      <c r="CL177" s="860">
        <v>1194</v>
      </c>
      <c r="CM177" s="860">
        <v>1673</v>
      </c>
      <c r="CN177" s="860">
        <v>2005</v>
      </c>
      <c r="CR177" s="23" t="s">
        <v>216</v>
      </c>
      <c r="CS177" s="320">
        <v>352022</v>
      </c>
      <c r="CT177" s="320">
        <v>405878</v>
      </c>
      <c r="CU177" s="320">
        <v>489600</v>
      </c>
      <c r="CV177" s="320">
        <v>626688</v>
      </c>
      <c r="CW177" s="320">
        <v>698170</v>
      </c>
      <c r="CX177" s="14"/>
      <c r="CY177" s="23" t="s">
        <v>216</v>
      </c>
      <c r="CZ177" s="320">
        <v>352022</v>
      </c>
      <c r="DA177" s="320">
        <v>405878</v>
      </c>
      <c r="DB177" s="320">
        <v>489600</v>
      </c>
      <c r="DC177" s="320">
        <v>626688</v>
      </c>
      <c r="DD177" s="320">
        <v>698170</v>
      </c>
    </row>
    <row r="178" spans="1:108" ht="12.95" customHeight="1">
      <c r="C178" s="24"/>
      <c r="D178" s="3" t="s">
        <v>1204</v>
      </c>
      <c r="AA178" t="s">
        <v>2081</v>
      </c>
      <c r="AE178" s="27" t="s">
        <v>305</v>
      </c>
      <c r="AF178" s="1795"/>
      <c r="AG178" s="1795"/>
      <c r="AH178" s="1" t="s">
        <v>306</v>
      </c>
      <c r="AI178" s="1808"/>
      <c r="AJ178" s="1808"/>
      <c r="AK178" s="1808"/>
      <c r="BB178" t="s">
        <v>2216</v>
      </c>
      <c r="BN178" s="23" t="s">
        <v>221</v>
      </c>
      <c r="BS178">
        <v>7</v>
      </c>
      <c r="BT178" t="s">
        <v>53</v>
      </c>
      <c r="CB178" s="349" t="s">
        <v>495</v>
      </c>
      <c r="CC178" s="463">
        <v>2650</v>
      </c>
      <c r="CD178" s="464">
        <v>2840</v>
      </c>
      <c r="CE178" s="463">
        <v>3406</v>
      </c>
      <c r="CF178" s="464">
        <v>3938</v>
      </c>
      <c r="CG178" s="464">
        <v>4392</v>
      </c>
      <c r="CH178" s="465">
        <v>4846</v>
      </c>
      <c r="CI178" s="3"/>
      <c r="CJ178" s="860">
        <v>1856</v>
      </c>
      <c r="CK178" s="860">
        <v>2081</v>
      </c>
      <c r="CL178" s="860">
        <v>2625</v>
      </c>
      <c r="CM178" s="860">
        <v>3335</v>
      </c>
      <c r="CN178" s="860">
        <v>3698</v>
      </c>
      <c r="CR178" s="23" t="s">
        <v>217</v>
      </c>
      <c r="CS178" s="322">
        <v>437727</v>
      </c>
      <c r="CT178" s="322">
        <v>504695</v>
      </c>
      <c r="CU178" s="322">
        <v>608800</v>
      </c>
      <c r="CV178" s="322">
        <v>779264</v>
      </c>
      <c r="CW178" s="322">
        <v>868149</v>
      </c>
      <c r="CX178" s="14"/>
      <c r="CY178" s="23" t="s">
        <v>217</v>
      </c>
      <c r="CZ178" s="322">
        <v>437727</v>
      </c>
      <c r="DA178" s="322">
        <v>504695</v>
      </c>
      <c r="DB178" s="322">
        <v>608800</v>
      </c>
      <c r="DC178" s="322">
        <v>779264</v>
      </c>
      <c r="DD178" s="322">
        <v>868149</v>
      </c>
    </row>
    <row r="179" spans="1:108" ht="12.95" customHeight="1">
      <c r="C179" s="24"/>
      <c r="BN179" s="23" t="s">
        <v>222</v>
      </c>
      <c r="BS179">
        <v>7</v>
      </c>
      <c r="BT179" t="s">
        <v>54</v>
      </c>
      <c r="CB179" s="349" t="s">
        <v>496</v>
      </c>
      <c r="CC179" s="463">
        <v>1644</v>
      </c>
      <c r="CD179" s="464">
        <v>1762</v>
      </c>
      <c r="CE179" s="463">
        <v>2114</v>
      </c>
      <c r="CF179" s="464">
        <v>2442</v>
      </c>
      <c r="CG179" s="464">
        <v>2724</v>
      </c>
      <c r="CH179" s="465">
        <v>3006</v>
      </c>
      <c r="CI179" s="3"/>
      <c r="CJ179" s="860">
        <v>1099</v>
      </c>
      <c r="CK179" s="860">
        <v>1106</v>
      </c>
      <c r="CL179" s="860">
        <v>1433</v>
      </c>
      <c r="CM179" s="860">
        <v>2008</v>
      </c>
      <c r="CN179" s="860">
        <v>2293</v>
      </c>
      <c r="CR179" s="23" t="s">
        <v>219</v>
      </c>
      <c r="CS179" s="320">
        <v>307732</v>
      </c>
      <c r="CT179" s="320">
        <v>354812</v>
      </c>
      <c r="CU179" s="320">
        <v>428000</v>
      </c>
      <c r="CV179" s="320">
        <v>547840</v>
      </c>
      <c r="CW179" s="320">
        <v>610328</v>
      </c>
      <c r="CX179" s="14"/>
      <c r="CY179" s="23" t="s">
        <v>219</v>
      </c>
      <c r="CZ179" s="320">
        <v>307732</v>
      </c>
      <c r="DA179" s="320">
        <v>354812</v>
      </c>
      <c r="DB179" s="320">
        <v>428000</v>
      </c>
      <c r="DC179" s="320">
        <v>547840</v>
      </c>
      <c r="DD179" s="320">
        <v>610328</v>
      </c>
    </row>
    <row r="180" spans="1:108" ht="12.95" customHeight="1">
      <c r="C180" s="24"/>
      <c r="D180" t="s">
        <v>2082</v>
      </c>
      <c r="X180" s="1336" t="s">
        <v>670</v>
      </c>
      <c r="Y180" s="1336"/>
      <c r="BN180" s="23" t="s">
        <v>224</v>
      </c>
      <c r="BS180">
        <v>5</v>
      </c>
      <c r="BT180" t="s">
        <v>55</v>
      </c>
      <c r="CB180" s="349" t="s">
        <v>497</v>
      </c>
      <c r="CC180" s="463">
        <v>3384</v>
      </c>
      <c r="CD180" s="464">
        <v>3626</v>
      </c>
      <c r="CE180" s="463">
        <v>4352</v>
      </c>
      <c r="CF180" s="464">
        <v>5028</v>
      </c>
      <c r="CG180" s="464">
        <v>5610</v>
      </c>
      <c r="CH180" s="465">
        <v>6190</v>
      </c>
      <c r="CI180" s="3"/>
      <c r="CJ180" s="860">
        <v>2275</v>
      </c>
      <c r="CK180" s="860">
        <v>2780</v>
      </c>
      <c r="CL180" s="860">
        <v>3318</v>
      </c>
      <c r="CM180" s="860">
        <v>4138</v>
      </c>
      <c r="CN180" s="860">
        <v>4399</v>
      </c>
      <c r="CR180" s="23" t="s">
        <v>220</v>
      </c>
      <c r="CS180" s="322">
        <v>384234</v>
      </c>
      <c r="CT180" s="322">
        <v>443018</v>
      </c>
      <c r="CU180" s="322">
        <v>534400</v>
      </c>
      <c r="CV180" s="322">
        <v>684032</v>
      </c>
      <c r="CW180" s="322">
        <v>762054</v>
      </c>
      <c r="CX180" s="14"/>
      <c r="CY180" s="23" t="s">
        <v>220</v>
      </c>
      <c r="CZ180" s="322">
        <v>384234</v>
      </c>
      <c r="DA180" s="322">
        <v>443018</v>
      </c>
      <c r="DB180" s="322">
        <v>534400</v>
      </c>
      <c r="DC180" s="322">
        <v>684032</v>
      </c>
      <c r="DD180" s="322">
        <v>762054</v>
      </c>
    </row>
    <row r="181" spans="1:108" ht="12.95" customHeight="1">
      <c r="C181" s="8"/>
      <c r="E181" s="4" t="s">
        <v>977</v>
      </c>
      <c r="BN181" s="23" t="s">
        <v>225</v>
      </c>
      <c r="BS181">
        <v>7</v>
      </c>
      <c r="BT181" t="s">
        <v>56</v>
      </c>
      <c r="CB181" s="349" t="s">
        <v>53</v>
      </c>
      <c r="CC181" s="463">
        <v>1644</v>
      </c>
      <c r="CD181" s="464">
        <v>1762</v>
      </c>
      <c r="CE181" s="463">
        <v>2114</v>
      </c>
      <c r="CF181" s="464">
        <v>2442</v>
      </c>
      <c r="CG181" s="464">
        <v>2724</v>
      </c>
      <c r="CH181" s="465">
        <v>3006</v>
      </c>
      <c r="CI181" s="3"/>
      <c r="CJ181" s="860">
        <v>928</v>
      </c>
      <c r="CK181" s="860">
        <v>1119</v>
      </c>
      <c r="CL181" s="860">
        <v>1338</v>
      </c>
      <c r="CM181" s="860">
        <v>1875</v>
      </c>
      <c r="CN181" s="860">
        <v>2247</v>
      </c>
      <c r="CR181" s="23" t="s">
        <v>221</v>
      </c>
      <c r="CS181" s="320">
        <v>352022</v>
      </c>
      <c r="CT181" s="320">
        <v>405878</v>
      </c>
      <c r="CU181" s="320">
        <v>489600</v>
      </c>
      <c r="CV181" s="320">
        <v>626688</v>
      </c>
      <c r="CW181" s="320">
        <v>698170</v>
      </c>
      <c r="CX181" s="14"/>
      <c r="CY181" s="23" t="s">
        <v>221</v>
      </c>
      <c r="CZ181" s="320">
        <v>352022</v>
      </c>
      <c r="DA181" s="320">
        <v>405878</v>
      </c>
      <c r="DB181" s="320">
        <v>489600</v>
      </c>
      <c r="DC181" s="320">
        <v>626688</v>
      </c>
      <c r="DD181" s="320">
        <v>698170</v>
      </c>
    </row>
    <row r="182" spans="1:108" ht="12.95" customHeight="1">
      <c r="C182" s="529"/>
      <c r="BN182" s="23" t="s">
        <v>226</v>
      </c>
      <c r="BS182">
        <v>7</v>
      </c>
      <c r="BT182" t="s">
        <v>60</v>
      </c>
      <c r="CB182" s="349" t="s">
        <v>54</v>
      </c>
      <c r="CC182" s="463">
        <v>1644</v>
      </c>
      <c r="CD182" s="464">
        <v>1762</v>
      </c>
      <c r="CE182" s="463">
        <v>2114</v>
      </c>
      <c r="CF182" s="464">
        <v>2442</v>
      </c>
      <c r="CG182" s="464">
        <v>2724</v>
      </c>
      <c r="CH182" s="465">
        <v>3006</v>
      </c>
      <c r="CI182" s="3"/>
      <c r="CJ182" s="860">
        <v>1173</v>
      </c>
      <c r="CK182" s="860">
        <v>1220</v>
      </c>
      <c r="CL182" s="860">
        <v>1601</v>
      </c>
      <c r="CM182" s="860">
        <v>2243</v>
      </c>
      <c r="CN182" s="860">
        <v>2688</v>
      </c>
      <c r="CR182" s="23" t="s">
        <v>222</v>
      </c>
      <c r="CS182" s="322">
        <v>352022</v>
      </c>
      <c r="CT182" s="322">
        <v>405878</v>
      </c>
      <c r="CU182" s="322">
        <v>489600</v>
      </c>
      <c r="CV182" s="322">
        <v>626688</v>
      </c>
      <c r="CW182" s="322">
        <v>698170</v>
      </c>
      <c r="CX182" s="14"/>
      <c r="CY182" s="23" t="s">
        <v>222</v>
      </c>
      <c r="CZ182" s="322">
        <v>352022</v>
      </c>
      <c r="DA182" s="322">
        <v>405878</v>
      </c>
      <c r="DB182" s="322">
        <v>489600</v>
      </c>
      <c r="DC182" s="322">
        <v>626688</v>
      </c>
      <c r="DD182" s="322">
        <v>698170</v>
      </c>
    </row>
    <row r="183" spans="1:108" ht="12.95" customHeight="1">
      <c r="A183" s="2" t="s">
        <v>577</v>
      </c>
      <c r="C183" s="2" t="s">
        <v>578</v>
      </c>
      <c r="BN183" s="23" t="s">
        <v>228</v>
      </c>
      <c r="BS183">
        <v>4</v>
      </c>
      <c r="BT183" t="s">
        <v>61</v>
      </c>
      <c r="CB183" s="349" t="s">
        <v>55</v>
      </c>
      <c r="CC183" s="463">
        <v>1644</v>
      </c>
      <c r="CD183" s="464">
        <v>1762</v>
      </c>
      <c r="CE183" s="463">
        <v>2114</v>
      </c>
      <c r="CF183" s="464">
        <v>2442</v>
      </c>
      <c r="CG183" s="464">
        <v>2724</v>
      </c>
      <c r="CH183" s="465">
        <v>3006</v>
      </c>
      <c r="CI183" s="3"/>
      <c r="CJ183" s="860">
        <v>1071</v>
      </c>
      <c r="CK183" s="860">
        <v>1227</v>
      </c>
      <c r="CL183" s="860">
        <v>1509</v>
      </c>
      <c r="CM183" s="860">
        <v>2081</v>
      </c>
      <c r="CN183" s="860">
        <v>2534</v>
      </c>
      <c r="CR183" s="23" t="s">
        <v>224</v>
      </c>
      <c r="CS183" s="320">
        <v>307732</v>
      </c>
      <c r="CT183" s="320">
        <v>354812</v>
      </c>
      <c r="CU183" s="320">
        <v>428000</v>
      </c>
      <c r="CV183" s="320">
        <v>547840</v>
      </c>
      <c r="CW183" s="320">
        <v>610328</v>
      </c>
      <c r="CX183" s="14"/>
      <c r="CY183" s="23" t="s">
        <v>224</v>
      </c>
      <c r="CZ183" s="320">
        <v>307732</v>
      </c>
      <c r="DA183" s="320">
        <v>354812</v>
      </c>
      <c r="DB183" s="320">
        <v>428000</v>
      </c>
      <c r="DC183" s="320">
        <v>547840</v>
      </c>
      <c r="DD183" s="320">
        <v>610328</v>
      </c>
    </row>
    <row r="184" spans="1:108" ht="12.95" customHeight="1">
      <c r="C184" s="21"/>
      <c r="D184" t="s">
        <v>579</v>
      </c>
      <c r="I184" s="1363" t="str">
        <f>H18</f>
        <v>Century + Restorative Care Village Phase II</v>
      </c>
      <c r="J184" s="1363"/>
      <c r="K184" s="1363"/>
      <c r="L184" s="1363"/>
      <c r="M184" s="1363"/>
      <c r="N184" s="1363"/>
      <c r="O184" s="1363"/>
      <c r="P184" s="1363"/>
      <c r="Q184" s="1363"/>
      <c r="R184" s="1363"/>
      <c r="S184" s="1363"/>
      <c r="T184" s="1363"/>
      <c r="U184" s="1363"/>
      <c r="V184" s="1363"/>
      <c r="W184" s="1363"/>
      <c r="X184" s="1363"/>
      <c r="Y184" s="1363"/>
      <c r="Z184" s="1363"/>
      <c r="AA184" s="1363"/>
      <c r="AB184" s="1363"/>
      <c r="AC184" s="1363"/>
      <c r="AD184" s="1363"/>
      <c r="AE184" s="1363"/>
      <c r="BC184" t="s">
        <v>588</v>
      </c>
      <c r="BN184" s="23" t="s">
        <v>230</v>
      </c>
      <c r="BS184">
        <v>4</v>
      </c>
      <c r="BT184" t="s">
        <v>62</v>
      </c>
      <c r="CB184" s="349" t="s">
        <v>56</v>
      </c>
      <c r="CC184" s="463">
        <v>1644</v>
      </c>
      <c r="CD184" s="464">
        <v>1762</v>
      </c>
      <c r="CE184" s="463">
        <v>2114</v>
      </c>
      <c r="CF184" s="464">
        <v>2442</v>
      </c>
      <c r="CG184" s="464">
        <v>2724</v>
      </c>
      <c r="CH184" s="465">
        <v>3006</v>
      </c>
      <c r="CI184" s="3"/>
      <c r="CJ184" s="860">
        <v>731</v>
      </c>
      <c r="CK184" s="860">
        <v>886</v>
      </c>
      <c r="CL184" s="860">
        <v>1054</v>
      </c>
      <c r="CM184" s="860">
        <v>1270</v>
      </c>
      <c r="CN184" s="860">
        <v>1748</v>
      </c>
      <c r="CR184" s="23" t="s">
        <v>225</v>
      </c>
      <c r="CS184" s="322">
        <v>352022</v>
      </c>
      <c r="CT184" s="322">
        <v>405878</v>
      </c>
      <c r="CU184" s="322">
        <v>489600</v>
      </c>
      <c r="CV184" s="322">
        <v>626688</v>
      </c>
      <c r="CW184" s="322">
        <v>698170</v>
      </c>
      <c r="CX184" s="14"/>
      <c r="CY184" s="23" t="s">
        <v>225</v>
      </c>
      <c r="CZ184" s="322">
        <v>352022</v>
      </c>
      <c r="DA184" s="322">
        <v>405878</v>
      </c>
      <c r="DB184" s="322">
        <v>489600</v>
      </c>
      <c r="DC184" s="322">
        <v>626688</v>
      </c>
      <c r="DD184" s="322">
        <v>698170</v>
      </c>
    </row>
    <row r="185" spans="1:108" ht="12.95" customHeight="1">
      <c r="C185" s="21"/>
      <c r="D185" t="s">
        <v>580</v>
      </c>
      <c r="I185" s="1473" t="s">
        <v>2622</v>
      </c>
      <c r="J185" s="1353"/>
      <c r="K185" s="1353"/>
      <c r="L185" s="1353"/>
      <c r="M185" s="1353"/>
      <c r="N185" s="1353"/>
      <c r="O185" s="1353"/>
      <c r="P185" s="1353"/>
      <c r="Q185" s="1353"/>
      <c r="R185" s="1353"/>
      <c r="S185" s="1353"/>
      <c r="T185" s="1353"/>
      <c r="U185" s="1353"/>
      <c r="V185" s="1353"/>
      <c r="W185" s="1353"/>
      <c r="X185" s="1353"/>
      <c r="Y185" s="1353"/>
      <c r="Z185" s="1353"/>
      <c r="AA185" s="1353"/>
      <c r="AB185" s="1353"/>
      <c r="AC185" s="1353"/>
      <c r="AD185" s="1353"/>
      <c r="AE185" s="1353"/>
      <c r="BC185" t="s">
        <v>589</v>
      </c>
      <c r="BN185" s="23" t="s">
        <v>231</v>
      </c>
      <c r="BS185">
        <v>7</v>
      </c>
      <c r="BT185" t="s">
        <v>63</v>
      </c>
      <c r="CB185" s="349" t="s">
        <v>60</v>
      </c>
      <c r="CC185" s="463">
        <v>1784</v>
      </c>
      <c r="CD185" s="464">
        <v>1912</v>
      </c>
      <c r="CE185" s="463">
        <v>2294</v>
      </c>
      <c r="CF185" s="464">
        <v>2652</v>
      </c>
      <c r="CG185" s="464">
        <v>2960</v>
      </c>
      <c r="CH185" s="465">
        <v>3266</v>
      </c>
      <c r="CI185" s="3"/>
      <c r="CJ185" s="860">
        <v>1036</v>
      </c>
      <c r="CK185" s="860">
        <v>1348</v>
      </c>
      <c r="CL185" s="860">
        <v>1493</v>
      </c>
      <c r="CM185" s="860">
        <v>2092</v>
      </c>
      <c r="CN185" s="860">
        <v>2476</v>
      </c>
      <c r="CR185" s="23" t="s">
        <v>226</v>
      </c>
      <c r="CS185" s="320">
        <v>352022</v>
      </c>
      <c r="CT185" s="320">
        <v>405878</v>
      </c>
      <c r="CU185" s="320">
        <v>489600</v>
      </c>
      <c r="CV185" s="320">
        <v>626688</v>
      </c>
      <c r="CW185" s="320">
        <v>698170</v>
      </c>
      <c r="CX185" s="14"/>
      <c r="CY185" s="23" t="s">
        <v>226</v>
      </c>
      <c r="CZ185" s="320">
        <v>352022</v>
      </c>
      <c r="DA185" s="320">
        <v>405878</v>
      </c>
      <c r="DB185" s="320">
        <v>489600</v>
      </c>
      <c r="DC185" s="320">
        <v>626688</v>
      </c>
      <c r="DD185" s="320">
        <v>698170</v>
      </c>
    </row>
    <row r="186" spans="1:108" ht="12.95" customHeight="1">
      <c r="C186" s="21"/>
      <c r="E186" t="s">
        <v>168</v>
      </c>
      <c r="BN186" s="23" t="s">
        <v>232</v>
      </c>
      <c r="BS186">
        <v>4</v>
      </c>
      <c r="BT186" t="s">
        <v>64</v>
      </c>
      <c r="CB186" s="349" t="s">
        <v>61</v>
      </c>
      <c r="CC186" s="463">
        <v>2530</v>
      </c>
      <c r="CD186" s="464">
        <v>2710</v>
      </c>
      <c r="CE186" s="463">
        <v>3254</v>
      </c>
      <c r="CF186" s="464">
        <v>3760</v>
      </c>
      <c r="CG186" s="464">
        <v>4192</v>
      </c>
      <c r="CH186" s="465">
        <v>4626</v>
      </c>
      <c r="CI186" s="3"/>
      <c r="CJ186" s="860">
        <v>2414</v>
      </c>
      <c r="CK186" s="860">
        <v>2479</v>
      </c>
      <c r="CL186" s="860">
        <v>2982</v>
      </c>
      <c r="CM186" s="860">
        <v>4025</v>
      </c>
      <c r="CN186" s="860">
        <v>4383</v>
      </c>
      <c r="CR186" s="23" t="s">
        <v>228</v>
      </c>
      <c r="CS186" s="322">
        <v>404366</v>
      </c>
      <c r="CT186" s="322">
        <v>466230</v>
      </c>
      <c r="CU186" s="322">
        <v>562400</v>
      </c>
      <c r="CV186" s="322">
        <v>719872</v>
      </c>
      <c r="CW186" s="322">
        <v>801982</v>
      </c>
      <c r="CX186" s="14"/>
      <c r="CY186" s="23" t="s">
        <v>228</v>
      </c>
      <c r="CZ186" s="322">
        <v>404366</v>
      </c>
      <c r="DA186" s="322">
        <v>466230</v>
      </c>
      <c r="DB186" s="322">
        <v>562400</v>
      </c>
      <c r="DC186" s="322">
        <v>719872</v>
      </c>
      <c r="DD186" s="322">
        <v>801982</v>
      </c>
    </row>
    <row r="187" spans="1:108" ht="12.95" customHeight="1">
      <c r="C187" s="21"/>
      <c r="E187" s="1820"/>
      <c r="F187" s="1820"/>
      <c r="G187" s="1820"/>
      <c r="H187" s="1820"/>
      <c r="I187" s="1820"/>
      <c r="J187" s="1820"/>
      <c r="K187" s="1820"/>
      <c r="L187" s="1820"/>
      <c r="M187" s="1820"/>
      <c r="N187" s="1820"/>
      <c r="O187" s="1820"/>
      <c r="P187" s="1820"/>
      <c r="Q187" s="1820"/>
      <c r="R187" s="1820"/>
      <c r="S187" s="1820"/>
      <c r="T187" s="1820"/>
      <c r="U187" s="1820"/>
      <c r="V187" s="1820"/>
      <c r="W187" s="1820"/>
      <c r="X187" s="1820"/>
      <c r="Y187" s="1820"/>
      <c r="Z187" s="1820"/>
      <c r="AA187" s="1820"/>
      <c r="AB187" s="1820"/>
      <c r="AC187" s="1820"/>
      <c r="AD187" s="1820"/>
      <c r="AE187" s="1820"/>
      <c r="BN187" s="23" t="s">
        <v>233</v>
      </c>
      <c r="BS187">
        <v>6</v>
      </c>
      <c r="BT187" t="s">
        <v>65</v>
      </c>
      <c r="CB187" s="349" t="s">
        <v>62</v>
      </c>
      <c r="CC187" s="463">
        <v>2804</v>
      </c>
      <c r="CD187" s="464">
        <v>3004</v>
      </c>
      <c r="CE187" s="463">
        <v>3606</v>
      </c>
      <c r="CF187" s="464">
        <v>4168</v>
      </c>
      <c r="CG187" s="464">
        <v>4650</v>
      </c>
      <c r="CH187" s="465">
        <v>5130</v>
      </c>
      <c r="CI187" s="3"/>
      <c r="CJ187" s="860">
        <v>1915</v>
      </c>
      <c r="CK187" s="860">
        <v>2128</v>
      </c>
      <c r="CL187" s="860">
        <v>2792</v>
      </c>
      <c r="CM187" s="860">
        <v>3636</v>
      </c>
      <c r="CN187" s="860">
        <v>4144</v>
      </c>
      <c r="CR187" s="23" t="s">
        <v>230</v>
      </c>
      <c r="CS187" s="320">
        <v>384234</v>
      </c>
      <c r="CT187" s="320">
        <v>443018</v>
      </c>
      <c r="CU187" s="320">
        <v>534400</v>
      </c>
      <c r="CV187" s="320">
        <v>684032</v>
      </c>
      <c r="CW187" s="320">
        <v>762054</v>
      </c>
      <c r="CX187" s="14"/>
      <c r="CY187" s="23" t="s">
        <v>230</v>
      </c>
      <c r="CZ187" s="320">
        <v>384234</v>
      </c>
      <c r="DA187" s="320">
        <v>443018</v>
      </c>
      <c r="DB187" s="320">
        <v>534400</v>
      </c>
      <c r="DC187" s="320">
        <v>684032</v>
      </c>
      <c r="DD187" s="320">
        <v>762054</v>
      </c>
    </row>
    <row r="188" spans="1:108" ht="12.95" customHeight="1">
      <c r="C188" s="21"/>
      <c r="E188" s="1752"/>
      <c r="F188" s="1752"/>
      <c r="G188" s="1752"/>
      <c r="H188" s="1752"/>
      <c r="I188" s="1752"/>
      <c r="J188" s="1752"/>
      <c r="K188" s="1752"/>
      <c r="L188" s="1752"/>
      <c r="M188" s="1752"/>
      <c r="N188" s="1752"/>
      <c r="O188" s="1752"/>
      <c r="P188" s="1752"/>
      <c r="Q188" s="1752"/>
      <c r="R188" s="1752"/>
      <c r="S188" s="1752"/>
      <c r="T188" s="1752"/>
      <c r="U188" s="1752"/>
      <c r="V188" s="1752"/>
      <c r="W188" s="1752"/>
      <c r="X188" s="1752"/>
      <c r="Y188" s="1752"/>
      <c r="Z188" s="1752"/>
      <c r="AA188" s="1752"/>
      <c r="AB188" s="1752"/>
      <c r="AC188" s="1752"/>
      <c r="AD188" s="1752"/>
      <c r="AE188" s="1752"/>
      <c r="BN188" s="23" t="s">
        <v>235</v>
      </c>
      <c r="BS188">
        <v>7</v>
      </c>
      <c r="BT188" t="s">
        <v>66</v>
      </c>
      <c r="CB188" s="349" t="s">
        <v>63</v>
      </c>
      <c r="CC188" s="463">
        <v>1992</v>
      </c>
      <c r="CD188" s="464">
        <v>2132</v>
      </c>
      <c r="CE188" s="463">
        <v>2560</v>
      </c>
      <c r="CF188" s="464">
        <v>2958</v>
      </c>
      <c r="CG188" s="464">
        <v>3300</v>
      </c>
      <c r="CH188" s="465">
        <v>3642</v>
      </c>
      <c r="CI188" s="3"/>
      <c r="CJ188" s="860">
        <v>1352</v>
      </c>
      <c r="CK188" s="860">
        <v>1361</v>
      </c>
      <c r="CL188" s="860">
        <v>1785</v>
      </c>
      <c r="CM188" s="860">
        <v>2501</v>
      </c>
      <c r="CN188" s="860">
        <v>2997</v>
      </c>
      <c r="CR188" s="23" t="s">
        <v>231</v>
      </c>
      <c r="CS188" s="322">
        <v>352022</v>
      </c>
      <c r="CT188" s="322">
        <v>405878</v>
      </c>
      <c r="CU188" s="322">
        <v>489600</v>
      </c>
      <c r="CV188" s="322">
        <v>626688</v>
      </c>
      <c r="CW188" s="322">
        <v>698170</v>
      </c>
      <c r="CX188" s="14"/>
      <c r="CY188" s="23" t="s">
        <v>231</v>
      </c>
      <c r="CZ188" s="322">
        <v>352022</v>
      </c>
      <c r="DA188" s="322">
        <v>405878</v>
      </c>
      <c r="DB188" s="322">
        <v>489600</v>
      </c>
      <c r="DC188" s="322">
        <v>626688</v>
      </c>
      <c r="DD188" s="322">
        <v>698170</v>
      </c>
    </row>
    <row r="189" spans="1:108" ht="12.95" customHeight="1">
      <c r="C189" s="21"/>
      <c r="D189" t="s">
        <v>581</v>
      </c>
      <c r="I189" s="1421" t="s">
        <v>495</v>
      </c>
      <c r="J189" s="1376"/>
      <c r="K189" s="1376"/>
      <c r="L189" s="1376"/>
      <c r="M189" s="1376"/>
      <c r="N189" s="1376"/>
      <c r="O189" s="1376"/>
      <c r="P189" s="1376"/>
      <c r="Q189" t="s">
        <v>583</v>
      </c>
      <c r="T189" s="1376" t="s">
        <v>495</v>
      </c>
      <c r="U189" s="1376"/>
      <c r="V189" s="1376"/>
      <c r="W189" s="1376"/>
      <c r="X189" s="1376"/>
      <c r="Y189" s="1376"/>
      <c r="Z189" s="1376"/>
      <c r="AA189" s="1376"/>
      <c r="AB189" s="1376"/>
      <c r="AC189" s="1376"/>
      <c r="AD189" s="1376"/>
      <c r="AE189" s="1376"/>
      <c r="BC189" t="s">
        <v>307</v>
      </c>
      <c r="BH189" s="3" t="s">
        <v>592</v>
      </c>
      <c r="BN189" s="23" t="s">
        <v>236</v>
      </c>
      <c r="BS189">
        <v>5</v>
      </c>
      <c r="BT189" t="s">
        <v>67</v>
      </c>
      <c r="CB189" s="349" t="s">
        <v>64</v>
      </c>
      <c r="CC189" s="463">
        <v>2962</v>
      </c>
      <c r="CD189" s="464">
        <v>3172</v>
      </c>
      <c r="CE189" s="463">
        <v>3806</v>
      </c>
      <c r="CF189" s="464">
        <v>4400</v>
      </c>
      <c r="CG189" s="464">
        <v>4906</v>
      </c>
      <c r="CH189" s="465">
        <v>5416</v>
      </c>
      <c r="CI189" s="34"/>
      <c r="CJ189" s="1040">
        <v>2352</v>
      </c>
      <c r="CK189" s="1040">
        <v>2454</v>
      </c>
      <c r="CL189" s="1040">
        <v>2903</v>
      </c>
      <c r="CM189" s="1040">
        <v>3927</v>
      </c>
      <c r="CN189" s="1040">
        <v>4693</v>
      </c>
      <c r="CR189" s="23" t="s">
        <v>232</v>
      </c>
      <c r="CS189" s="320">
        <v>396888</v>
      </c>
      <c r="CT189" s="320">
        <v>457608</v>
      </c>
      <c r="CU189" s="320">
        <v>552000</v>
      </c>
      <c r="CV189" s="320">
        <v>706560</v>
      </c>
      <c r="CW189" s="320">
        <v>787152</v>
      </c>
      <c r="CX189" s="14"/>
      <c r="CY189" s="23" t="s">
        <v>232</v>
      </c>
      <c r="CZ189" s="320">
        <v>396888</v>
      </c>
      <c r="DA189" s="320">
        <v>457608</v>
      </c>
      <c r="DB189" s="320">
        <v>552000</v>
      </c>
      <c r="DC189" s="320">
        <v>706560</v>
      </c>
      <c r="DD189" s="320">
        <v>787152</v>
      </c>
    </row>
    <row r="190" spans="1:108" ht="12.95" customHeight="1">
      <c r="C190" s="21"/>
      <c r="D190" t="s">
        <v>584</v>
      </c>
      <c r="I190" s="1353">
        <v>90033</v>
      </c>
      <c r="J190" s="1353"/>
      <c r="K190" s="1353"/>
      <c r="L190" s="1353"/>
      <c r="M190" s="1353"/>
      <c r="N190" s="1353"/>
      <c r="O190" t="s">
        <v>586</v>
      </c>
      <c r="T190" s="1802">
        <v>31084060371999</v>
      </c>
      <c r="U190" s="1803"/>
      <c r="V190" s="1803"/>
      <c r="W190" s="1803"/>
      <c r="X190" s="1803"/>
      <c r="Y190" s="1803"/>
      <c r="Z190" s="1803"/>
      <c r="AA190" s="1803"/>
      <c r="AB190" s="1803"/>
      <c r="AC190" s="1803"/>
      <c r="AD190" s="1803"/>
      <c r="AE190" s="1803"/>
      <c r="BC190" t="s">
        <v>1042</v>
      </c>
      <c r="BH190" t="s">
        <v>1042</v>
      </c>
      <c r="BN190" s="23" t="s">
        <v>636</v>
      </c>
      <c r="BS190">
        <v>6</v>
      </c>
      <c r="BT190" t="s">
        <v>68</v>
      </c>
      <c r="CB190" s="349" t="s">
        <v>65</v>
      </c>
      <c r="CC190" s="463">
        <v>2252</v>
      </c>
      <c r="CD190" s="464">
        <v>2412</v>
      </c>
      <c r="CE190" s="463">
        <v>2894</v>
      </c>
      <c r="CF190" s="464">
        <v>3342</v>
      </c>
      <c r="CG190" s="464">
        <v>3730</v>
      </c>
      <c r="CH190" s="465">
        <v>4116</v>
      </c>
      <c r="CI190" s="34"/>
      <c r="CJ190" s="1040">
        <v>1679</v>
      </c>
      <c r="CK190" s="1040">
        <v>1777</v>
      </c>
      <c r="CL190" s="1040">
        <v>2206</v>
      </c>
      <c r="CM190" s="1040">
        <v>2992</v>
      </c>
      <c r="CN190" s="1040">
        <v>3455</v>
      </c>
      <c r="CR190" s="23" t="s">
        <v>233</v>
      </c>
      <c r="CS190" s="322">
        <v>331890</v>
      </c>
      <c r="CT190" s="322">
        <v>382666</v>
      </c>
      <c r="CU190" s="322">
        <v>461600</v>
      </c>
      <c r="CV190" s="322">
        <v>590848</v>
      </c>
      <c r="CW190" s="322">
        <v>658242</v>
      </c>
      <c r="CX190" s="14"/>
      <c r="CY190" s="23" t="s">
        <v>233</v>
      </c>
      <c r="CZ190" s="322">
        <v>331890</v>
      </c>
      <c r="DA190" s="322">
        <v>382666</v>
      </c>
      <c r="DB190" s="322">
        <v>461600</v>
      </c>
      <c r="DC190" s="322">
        <v>590848</v>
      </c>
      <c r="DD190" s="322">
        <v>658242</v>
      </c>
    </row>
    <row r="191" spans="1:108" ht="12.95" customHeight="1">
      <c r="C191" s="21"/>
      <c r="D191" t="s">
        <v>463</v>
      </c>
      <c r="N191" s="1777" t="s">
        <v>2743</v>
      </c>
      <c r="O191" s="1820"/>
      <c r="P191" s="1820"/>
      <c r="Q191" s="1820"/>
      <c r="R191" s="1820"/>
      <c r="S191" s="1820"/>
      <c r="T191" s="1820"/>
      <c r="U191" s="1820"/>
      <c r="V191" s="1820"/>
      <c r="W191" s="1820"/>
      <c r="X191" s="1820"/>
      <c r="Y191" s="1820"/>
      <c r="Z191" s="1820"/>
      <c r="AA191" s="1820"/>
      <c r="AB191" s="1820"/>
      <c r="AC191" s="1820"/>
      <c r="AD191" s="1820"/>
      <c r="AE191" s="1820"/>
      <c r="BC191" t="s">
        <v>1041</v>
      </c>
      <c r="BH191" t="s">
        <v>1041</v>
      </c>
      <c r="BN191" s="23" t="s">
        <v>689</v>
      </c>
      <c r="BS191">
        <v>4</v>
      </c>
      <c r="BT191" t="s">
        <v>728</v>
      </c>
      <c r="CB191" s="349" t="s">
        <v>66</v>
      </c>
      <c r="CC191" s="463">
        <v>1670</v>
      </c>
      <c r="CD191" s="464">
        <v>1788</v>
      </c>
      <c r="CE191" s="463">
        <v>2144</v>
      </c>
      <c r="CF191" s="464">
        <v>2478</v>
      </c>
      <c r="CG191" s="464">
        <v>2764</v>
      </c>
      <c r="CH191" s="465">
        <v>3050</v>
      </c>
      <c r="CI191" s="34"/>
      <c r="CJ191" s="1040">
        <v>904</v>
      </c>
      <c r="CK191" s="1040">
        <v>1005</v>
      </c>
      <c r="CL191" s="1040">
        <v>1318</v>
      </c>
      <c r="CM191" s="1040">
        <v>1847</v>
      </c>
      <c r="CN191" s="1040">
        <v>1883</v>
      </c>
      <c r="CR191" s="23" t="s">
        <v>235</v>
      </c>
      <c r="CS191" s="320">
        <v>352022</v>
      </c>
      <c r="CT191" s="320">
        <v>405878</v>
      </c>
      <c r="CU191" s="320">
        <v>489600</v>
      </c>
      <c r="CV191" s="320">
        <v>626688</v>
      </c>
      <c r="CW191" s="320">
        <v>698170</v>
      </c>
      <c r="CX191" s="14"/>
      <c r="CY191" s="23" t="s">
        <v>235</v>
      </c>
      <c r="CZ191" s="320">
        <v>352022</v>
      </c>
      <c r="DA191" s="320">
        <v>405878</v>
      </c>
      <c r="DB191" s="320">
        <v>489600</v>
      </c>
      <c r="DC191" s="320">
        <v>626688</v>
      </c>
      <c r="DD191" s="320">
        <v>698170</v>
      </c>
    </row>
    <row r="192" spans="1:108" ht="12.95" customHeight="1">
      <c r="C192" s="21"/>
      <c r="M192" s="40"/>
      <c r="N192" s="1752"/>
      <c r="O192" s="1752"/>
      <c r="P192" s="1752"/>
      <c r="Q192" s="1752"/>
      <c r="R192" s="1752"/>
      <c r="S192" s="1752"/>
      <c r="T192" s="1752"/>
      <c r="U192" s="1752"/>
      <c r="V192" s="1752"/>
      <c r="W192" s="1752"/>
      <c r="X192" s="1752"/>
      <c r="Y192" s="1752"/>
      <c r="Z192" s="1752"/>
      <c r="AA192" s="1752"/>
      <c r="AB192" s="1752"/>
      <c r="AC192" s="1752"/>
      <c r="AD192" s="1752"/>
      <c r="AE192" s="1752"/>
      <c r="BC192" t="s">
        <v>1044</v>
      </c>
      <c r="BH192" s="3" t="s">
        <v>1365</v>
      </c>
      <c r="BN192" s="23" t="s">
        <v>690</v>
      </c>
      <c r="BS192">
        <v>5</v>
      </c>
      <c r="BT192" t="s">
        <v>729</v>
      </c>
      <c r="CB192" s="349" t="s">
        <v>67</v>
      </c>
      <c r="CC192" s="463">
        <v>1960</v>
      </c>
      <c r="CD192" s="464">
        <v>2098</v>
      </c>
      <c r="CE192" s="463">
        <v>2516</v>
      </c>
      <c r="CF192" s="464">
        <v>2910</v>
      </c>
      <c r="CG192" s="464">
        <v>3244</v>
      </c>
      <c r="CH192" s="465">
        <v>3580</v>
      </c>
      <c r="CI192" s="34"/>
      <c r="CJ192" s="1040">
        <v>1776</v>
      </c>
      <c r="CK192" s="1040">
        <v>1852</v>
      </c>
      <c r="CL192" s="1040">
        <v>2306</v>
      </c>
      <c r="CM192" s="1040">
        <v>3079</v>
      </c>
      <c r="CN192" s="1040">
        <v>3745</v>
      </c>
      <c r="CR192" s="23" t="s">
        <v>236</v>
      </c>
      <c r="CS192" s="322">
        <v>324988</v>
      </c>
      <c r="CT192" s="322">
        <v>374708</v>
      </c>
      <c r="CU192" s="322">
        <v>452000</v>
      </c>
      <c r="CV192" s="322">
        <v>578560</v>
      </c>
      <c r="CW192" s="322">
        <v>644552</v>
      </c>
      <c r="CX192" s="14"/>
      <c r="CY192" s="23" t="s">
        <v>236</v>
      </c>
      <c r="CZ192" s="322">
        <v>324988</v>
      </c>
      <c r="DA192" s="322">
        <v>374708</v>
      </c>
      <c r="DB192" s="322">
        <v>452000</v>
      </c>
      <c r="DC192" s="322">
        <v>578560</v>
      </c>
      <c r="DD192" s="322">
        <v>644552</v>
      </c>
    </row>
    <row r="193" spans="1:108" ht="12.95" customHeight="1">
      <c r="C193" s="21"/>
      <c r="D193" t="s">
        <v>2083</v>
      </c>
      <c r="M193" s="40"/>
      <c r="N193" s="893"/>
      <c r="O193" s="893"/>
      <c r="P193" s="893"/>
      <c r="Q193" s="893"/>
      <c r="R193" s="893"/>
      <c r="S193" s="893"/>
      <c r="T193" s="1807" t="s">
        <v>1972</v>
      </c>
      <c r="U193" s="1807"/>
      <c r="V193" s="1807"/>
      <c r="W193" s="1807"/>
      <c r="X193" s="1807"/>
      <c r="Y193" s="1807"/>
      <c r="Z193" s="1807"/>
      <c r="AA193" s="1807"/>
      <c r="AB193" s="1807"/>
      <c r="AC193" s="1807"/>
      <c r="AD193" s="1807"/>
      <c r="AE193" s="1807"/>
      <c r="AF193" s="1807"/>
      <c r="AG193" s="1807"/>
      <c r="AH193" s="1807"/>
      <c r="AI193" s="1807"/>
      <c r="BC193" t="s">
        <v>1043</v>
      </c>
      <c r="BH193" s="3" t="s">
        <v>1630</v>
      </c>
      <c r="BN193" s="23" t="s">
        <v>691</v>
      </c>
      <c r="BS193">
        <v>4</v>
      </c>
      <c r="BT193" t="s">
        <v>730</v>
      </c>
      <c r="CB193" s="349" t="s">
        <v>68</v>
      </c>
      <c r="CC193" s="463">
        <v>2252</v>
      </c>
      <c r="CD193" s="464">
        <v>2412</v>
      </c>
      <c r="CE193" s="463">
        <v>2894</v>
      </c>
      <c r="CF193" s="464">
        <v>3342</v>
      </c>
      <c r="CG193" s="464">
        <v>3730</v>
      </c>
      <c r="CH193" s="465">
        <v>4116</v>
      </c>
      <c r="CI193" s="34"/>
      <c r="CJ193" s="1040">
        <v>1679</v>
      </c>
      <c r="CK193" s="1040">
        <v>1777</v>
      </c>
      <c r="CL193" s="1040">
        <v>2206</v>
      </c>
      <c r="CM193" s="1040">
        <v>2992</v>
      </c>
      <c r="CN193" s="1040">
        <v>3455</v>
      </c>
      <c r="CR193" s="23" t="s">
        <v>636</v>
      </c>
      <c r="CS193" s="320">
        <v>331890</v>
      </c>
      <c r="CT193" s="320">
        <v>382666</v>
      </c>
      <c r="CU193" s="320">
        <v>461600</v>
      </c>
      <c r="CV193" s="320">
        <v>590848</v>
      </c>
      <c r="CW193" s="320">
        <v>658242</v>
      </c>
      <c r="CX193" s="14"/>
      <c r="CY193" s="23" t="s">
        <v>636</v>
      </c>
      <c r="CZ193" s="320">
        <v>331890</v>
      </c>
      <c r="DA193" s="320">
        <v>382666</v>
      </c>
      <c r="DB193" s="320">
        <v>461600</v>
      </c>
      <c r="DC193" s="320">
        <v>590848</v>
      </c>
      <c r="DD193" s="320">
        <v>658242</v>
      </c>
    </row>
    <row r="194" spans="1:108" ht="12.95" customHeight="1">
      <c r="C194" s="21"/>
      <c r="D194" s="3" t="s">
        <v>2217</v>
      </c>
      <c r="M194" s="40"/>
      <c r="N194" s="893"/>
      <c r="O194" s="893"/>
      <c r="P194" s="893"/>
      <c r="Q194" s="893"/>
      <c r="R194" s="893"/>
      <c r="S194" s="893"/>
      <c r="AH194" s="1336" t="s">
        <v>670</v>
      </c>
      <c r="AI194" s="1336"/>
      <c r="BC194" t="s">
        <v>1365</v>
      </c>
      <c r="BN194" s="23" t="s">
        <v>692</v>
      </c>
      <c r="BS194">
        <v>2</v>
      </c>
      <c r="BT194" t="s">
        <v>731</v>
      </c>
      <c r="CB194" s="349" t="s">
        <v>728</v>
      </c>
      <c r="CC194" s="463">
        <v>2340</v>
      </c>
      <c r="CD194" s="464">
        <v>2506</v>
      </c>
      <c r="CE194" s="463">
        <v>3006</v>
      </c>
      <c r="CF194" s="464">
        <v>3472</v>
      </c>
      <c r="CG194" s="464">
        <v>3874</v>
      </c>
      <c r="CH194" s="465">
        <v>4276</v>
      </c>
      <c r="CI194" s="34"/>
      <c r="CJ194" s="1040">
        <v>1799</v>
      </c>
      <c r="CK194" s="1040">
        <v>1999</v>
      </c>
      <c r="CL194" s="1040">
        <v>2623</v>
      </c>
      <c r="CM194" s="1040">
        <v>3655</v>
      </c>
      <c r="CN194" s="1040">
        <v>4046</v>
      </c>
      <c r="CR194" s="23" t="s">
        <v>689</v>
      </c>
      <c r="CS194" s="322">
        <v>352022</v>
      </c>
      <c r="CT194" s="322">
        <v>405878</v>
      </c>
      <c r="CU194" s="322">
        <v>489600</v>
      </c>
      <c r="CV194" s="322">
        <v>626688</v>
      </c>
      <c r="CW194" s="322">
        <v>698170</v>
      </c>
      <c r="CX194" s="14"/>
      <c r="CY194" s="23" t="s">
        <v>689</v>
      </c>
      <c r="CZ194" s="322">
        <v>352022</v>
      </c>
      <c r="DA194" s="322">
        <v>405878</v>
      </c>
      <c r="DB194" s="322">
        <v>489600</v>
      </c>
      <c r="DC194" s="322">
        <v>626688</v>
      </c>
      <c r="DD194" s="322">
        <v>698170</v>
      </c>
    </row>
    <row r="195" spans="1:108" ht="12.95" customHeight="1">
      <c r="C195" s="21"/>
      <c r="D195" t="s">
        <v>331</v>
      </c>
      <c r="T195" s="1336" t="s">
        <v>670</v>
      </c>
      <c r="U195" s="1336"/>
      <c r="W195" t="s">
        <v>685</v>
      </c>
      <c r="AH195" s="1336">
        <v>34</v>
      </c>
      <c r="AI195" s="1336"/>
      <c r="BC195" t="s">
        <v>1858</v>
      </c>
      <c r="BN195" s="23" t="s">
        <v>242</v>
      </c>
      <c r="BS195">
        <v>6</v>
      </c>
      <c r="BT195" t="s">
        <v>732</v>
      </c>
      <c r="CB195" s="349" t="s">
        <v>729</v>
      </c>
      <c r="CC195" s="463">
        <v>1960</v>
      </c>
      <c r="CD195" s="464">
        <v>2098</v>
      </c>
      <c r="CE195" s="463">
        <v>2516</v>
      </c>
      <c r="CF195" s="464">
        <v>2910</v>
      </c>
      <c r="CG195" s="464">
        <v>3244</v>
      </c>
      <c r="CH195" s="465">
        <v>3580</v>
      </c>
      <c r="CI195" s="34"/>
      <c r="CJ195" s="1040">
        <v>1776</v>
      </c>
      <c r="CK195" s="1040">
        <v>1852</v>
      </c>
      <c r="CL195" s="1040">
        <v>2306</v>
      </c>
      <c r="CM195" s="1040">
        <v>3079</v>
      </c>
      <c r="CN195" s="1040">
        <v>3745</v>
      </c>
      <c r="CR195" s="23" t="s">
        <v>690</v>
      </c>
      <c r="CS195" s="320">
        <v>324988</v>
      </c>
      <c r="CT195" s="320">
        <v>374708</v>
      </c>
      <c r="CU195" s="320">
        <v>452000</v>
      </c>
      <c r="CV195" s="320">
        <v>578560</v>
      </c>
      <c r="CW195" s="320">
        <v>644552</v>
      </c>
      <c r="CX195" s="14"/>
      <c r="CY195" s="23" t="s">
        <v>690</v>
      </c>
      <c r="CZ195" s="320">
        <v>324988</v>
      </c>
      <c r="DA195" s="320">
        <v>374708</v>
      </c>
      <c r="DB195" s="320">
        <v>452000</v>
      </c>
      <c r="DC195" s="320">
        <v>578560</v>
      </c>
      <c r="DD195" s="320">
        <v>644552</v>
      </c>
    </row>
    <row r="196" spans="1:108" ht="12.95" customHeight="1">
      <c r="C196" s="21"/>
      <c r="D196" t="s">
        <v>386</v>
      </c>
      <c r="T196" s="1407" t="s">
        <v>546</v>
      </c>
      <c r="U196" s="1407"/>
      <c r="W196" t="s">
        <v>686</v>
      </c>
      <c r="AH196" s="1336">
        <v>54</v>
      </c>
      <c r="AI196" s="1336"/>
      <c r="BN196" s="23" t="s">
        <v>243</v>
      </c>
      <c r="BS196">
        <v>4</v>
      </c>
      <c r="BT196" t="s">
        <v>69</v>
      </c>
      <c r="CB196" s="349" t="s">
        <v>730</v>
      </c>
      <c r="CC196" s="463">
        <v>2894</v>
      </c>
      <c r="CD196" s="464">
        <v>3100</v>
      </c>
      <c r="CE196" s="463">
        <v>3722</v>
      </c>
      <c r="CF196" s="464">
        <v>4300</v>
      </c>
      <c r="CG196" s="464">
        <v>4796</v>
      </c>
      <c r="CH196" s="465">
        <v>5292</v>
      </c>
      <c r="CI196" s="34"/>
      <c r="CJ196" s="1040">
        <v>2145</v>
      </c>
      <c r="CK196" s="1040">
        <v>2328</v>
      </c>
      <c r="CL196" s="1040">
        <v>2881</v>
      </c>
      <c r="CM196" s="1040">
        <v>3852</v>
      </c>
      <c r="CN196" s="1040">
        <v>4690</v>
      </c>
      <c r="CR196" s="23" t="s">
        <v>691</v>
      </c>
      <c r="CS196" s="322">
        <v>353173</v>
      </c>
      <c r="CT196" s="322">
        <v>407205</v>
      </c>
      <c r="CU196" s="322">
        <v>491200</v>
      </c>
      <c r="CV196" s="322">
        <v>628736</v>
      </c>
      <c r="CW196" s="322">
        <v>700451</v>
      </c>
      <c r="CX196" s="14"/>
      <c r="CY196" s="23" t="s">
        <v>691</v>
      </c>
      <c r="CZ196" s="322">
        <v>353173</v>
      </c>
      <c r="DA196" s="322">
        <v>407205</v>
      </c>
      <c r="DB196" s="322">
        <v>491200</v>
      </c>
      <c r="DC196" s="322">
        <v>628736</v>
      </c>
      <c r="DD196" s="322">
        <v>700451</v>
      </c>
    </row>
    <row r="197" spans="1:108" ht="12.95" customHeight="1">
      <c r="C197" s="21"/>
      <c r="D197" s="3" t="s">
        <v>169</v>
      </c>
      <c r="T197" s="1407" t="s">
        <v>670</v>
      </c>
      <c r="U197" s="1407"/>
      <c r="W197" t="s">
        <v>687</v>
      </c>
      <c r="AH197" s="1336">
        <v>26</v>
      </c>
      <c r="AI197" s="1336"/>
      <c r="BC197" t="s">
        <v>307</v>
      </c>
      <c r="BN197" s="23" t="s">
        <v>244</v>
      </c>
      <c r="BS197">
        <v>2</v>
      </c>
      <c r="BT197" t="s">
        <v>70</v>
      </c>
      <c r="CB197" s="349" t="s">
        <v>731</v>
      </c>
      <c r="CC197" s="463">
        <v>3384</v>
      </c>
      <c r="CD197" s="464">
        <v>3626</v>
      </c>
      <c r="CE197" s="463">
        <v>4352</v>
      </c>
      <c r="CF197" s="464">
        <v>5028</v>
      </c>
      <c r="CG197" s="464">
        <v>5610</v>
      </c>
      <c r="CH197" s="465">
        <v>6190</v>
      </c>
      <c r="CI197" s="34"/>
      <c r="CJ197" s="1040">
        <v>2275</v>
      </c>
      <c r="CK197" s="1040">
        <v>2780</v>
      </c>
      <c r="CL197" s="1040">
        <v>3318</v>
      </c>
      <c r="CM197" s="1040">
        <v>4138</v>
      </c>
      <c r="CN197" s="1040">
        <v>4399</v>
      </c>
      <c r="CR197" s="23" t="s">
        <v>692</v>
      </c>
      <c r="CS197" s="320">
        <v>689665</v>
      </c>
      <c r="CT197" s="320">
        <v>795177</v>
      </c>
      <c r="CU197" s="320">
        <v>959200</v>
      </c>
      <c r="CV197" s="320">
        <v>1227776</v>
      </c>
      <c r="CW197" s="320">
        <v>1367819</v>
      </c>
      <c r="CX197" s="14"/>
      <c r="CY197" s="23" t="s">
        <v>692</v>
      </c>
      <c r="CZ197" s="320">
        <v>689665</v>
      </c>
      <c r="DA197" s="320">
        <v>795177</v>
      </c>
      <c r="DB197" s="320">
        <v>959200</v>
      </c>
      <c r="DC197" s="320">
        <v>1227776</v>
      </c>
      <c r="DD197" s="320">
        <v>1367819</v>
      </c>
    </row>
    <row r="198" spans="1:108" s="14" customFormat="1" ht="12.95" customHeight="1">
      <c r="A198"/>
      <c r="B198"/>
      <c r="C198" s="21"/>
      <c r="D198" s="3" t="s">
        <v>1653</v>
      </c>
      <c r="E198"/>
      <c r="F198"/>
      <c r="G198"/>
      <c r="H198"/>
      <c r="I198"/>
      <c r="J198"/>
      <c r="K198"/>
      <c r="L198"/>
      <c r="M198"/>
      <c r="N198"/>
      <c r="O198"/>
      <c r="P198"/>
      <c r="Q198"/>
      <c r="R198"/>
      <c r="S198"/>
      <c r="T198" s="1407"/>
      <c r="U198" s="1407"/>
      <c r="V198"/>
      <c r="X198" s="1418" t="s">
        <v>2516</v>
      </c>
      <c r="Y198" s="1418"/>
      <c r="Z198" s="1418"/>
      <c r="AA198" s="1418"/>
      <c r="AB198" s="1418"/>
      <c r="AC198" s="1418"/>
      <c r="AD198" s="1418"/>
      <c r="AE198" s="1418"/>
      <c r="AF198" s="1418"/>
      <c r="AG198" s="1418"/>
      <c r="AH198" s="1418"/>
      <c r="AI198" s="1418"/>
      <c r="AJ198" s="1418"/>
      <c r="AK198" s="1418"/>
      <c r="AL198" s="1418"/>
      <c r="AM198" s="1418"/>
      <c r="AN198" s="1418"/>
      <c r="AO198" s="1418"/>
      <c r="AP198" s="1418"/>
      <c r="AQ198" s="1418"/>
      <c r="AR198" s="1418"/>
      <c r="AS198" s="1418"/>
      <c r="AT198" s="1418"/>
      <c r="AU198"/>
      <c r="AV198"/>
      <c r="AW198"/>
      <c r="AX198"/>
      <c r="AY198"/>
      <c r="AZ198" s="30"/>
      <c r="BA198" s="30"/>
      <c r="BC198" s="14" t="s">
        <v>592</v>
      </c>
      <c r="BD198"/>
      <c r="BN198" s="23" t="s">
        <v>698</v>
      </c>
      <c r="BO198"/>
      <c r="BP198"/>
      <c r="BQ198"/>
      <c r="BR198"/>
      <c r="BS198">
        <v>4</v>
      </c>
      <c r="BT198" t="s">
        <v>191</v>
      </c>
      <c r="BU198"/>
      <c r="BV198" s="31"/>
      <c r="CB198" s="349" t="s">
        <v>732</v>
      </c>
      <c r="CC198" s="463">
        <v>1832</v>
      </c>
      <c r="CD198" s="464">
        <v>1962</v>
      </c>
      <c r="CE198" s="463">
        <v>2354</v>
      </c>
      <c r="CF198" s="464">
        <v>2720</v>
      </c>
      <c r="CG198" s="464">
        <v>3034</v>
      </c>
      <c r="CH198" s="465">
        <v>3348</v>
      </c>
      <c r="CI198" s="3"/>
      <c r="CJ198" s="860">
        <v>1248</v>
      </c>
      <c r="CK198" s="860">
        <v>1363</v>
      </c>
      <c r="CL198" s="860">
        <v>1736</v>
      </c>
      <c r="CM198" s="860">
        <v>2433</v>
      </c>
      <c r="CN198" s="860">
        <v>2915</v>
      </c>
      <c r="CR198" s="23" t="s">
        <v>242</v>
      </c>
      <c r="CS198" s="322">
        <v>307732</v>
      </c>
      <c r="CT198" s="322">
        <v>354812</v>
      </c>
      <c r="CU198" s="322">
        <v>428000</v>
      </c>
      <c r="CV198" s="322">
        <v>547840</v>
      </c>
      <c r="CW198" s="322">
        <v>610328</v>
      </c>
      <c r="CY198" s="23" t="s">
        <v>242</v>
      </c>
      <c r="CZ198" s="322">
        <v>307732</v>
      </c>
      <c r="DA198" s="322">
        <v>354812</v>
      </c>
      <c r="DB198" s="322">
        <v>428000</v>
      </c>
      <c r="DC198" s="322">
        <v>547840</v>
      </c>
      <c r="DD198" s="322">
        <v>610328</v>
      </c>
    </row>
    <row r="199" spans="1:108" s="14" customFormat="1" ht="12.95" customHeight="1">
      <c r="A199"/>
      <c r="B199"/>
      <c r="C199" s="21"/>
      <c r="D199" s="118" t="s">
        <v>2519</v>
      </c>
      <c r="E199"/>
      <c r="F199"/>
      <c r="G199"/>
      <c r="H199"/>
      <c r="I199"/>
      <c r="J199"/>
      <c r="K199"/>
      <c r="L199"/>
      <c r="M199"/>
      <c r="N199"/>
      <c r="O199"/>
      <c r="P199"/>
      <c r="Q199"/>
      <c r="R199"/>
      <c r="S199"/>
      <c r="T199" s="1336" t="s">
        <v>670</v>
      </c>
      <c r="U199" s="1336"/>
      <c r="V199"/>
      <c r="W199"/>
      <c r="X199" s="1418"/>
      <c r="Y199" s="1418"/>
      <c r="Z199" s="1418"/>
      <c r="AA199" s="1418"/>
      <c r="AB199" s="1418"/>
      <c r="AC199" s="1418"/>
      <c r="AD199" s="1418"/>
      <c r="AE199" s="1418"/>
      <c r="AF199" s="1418"/>
      <c r="AG199" s="1418"/>
      <c r="AH199" s="1418"/>
      <c r="AI199" s="1418"/>
      <c r="AJ199" s="1418"/>
      <c r="AK199" s="1418"/>
      <c r="AL199" s="1418"/>
      <c r="AM199" s="1418"/>
      <c r="AN199" s="1418"/>
      <c r="AO199" s="1418"/>
      <c r="AP199" s="1418"/>
      <c r="AQ199" s="1418"/>
      <c r="AR199" s="1418"/>
      <c r="AS199" s="1418"/>
      <c r="AT199" s="1418"/>
      <c r="AU199"/>
      <c r="AV199"/>
      <c r="AW199"/>
      <c r="AX199"/>
      <c r="AY199"/>
      <c r="AZ199" s="30"/>
      <c r="BA199" s="30"/>
      <c r="BC199" t="s">
        <v>876</v>
      </c>
      <c r="BD199"/>
      <c r="BN199" s="23" t="s">
        <v>699</v>
      </c>
      <c r="BO199"/>
      <c r="BP199"/>
      <c r="BQ199"/>
      <c r="BR199"/>
      <c r="BS199">
        <v>2</v>
      </c>
      <c r="BT199" s="32" t="s">
        <v>192</v>
      </c>
      <c r="BU199"/>
      <c r="BV199" s="31"/>
      <c r="CB199" s="349" t="s">
        <v>69</v>
      </c>
      <c r="CC199" s="463">
        <v>2432</v>
      </c>
      <c r="CD199" s="464">
        <v>2606</v>
      </c>
      <c r="CE199" s="463">
        <v>3126</v>
      </c>
      <c r="CF199" s="464">
        <v>3612</v>
      </c>
      <c r="CG199" s="464">
        <v>4032</v>
      </c>
      <c r="CH199" s="465">
        <v>4448</v>
      </c>
      <c r="CI199" s="3"/>
      <c r="CJ199" s="860">
        <v>1669</v>
      </c>
      <c r="CK199" s="860">
        <v>1855</v>
      </c>
      <c r="CL199" s="860">
        <v>2434</v>
      </c>
      <c r="CM199" s="860">
        <v>3250</v>
      </c>
      <c r="CN199" s="860">
        <v>3683</v>
      </c>
      <c r="CR199" s="23" t="s">
        <v>243</v>
      </c>
      <c r="CS199" s="320">
        <v>404366</v>
      </c>
      <c r="CT199" s="320">
        <v>466230</v>
      </c>
      <c r="CU199" s="320">
        <v>562400</v>
      </c>
      <c r="CV199" s="320">
        <v>719872</v>
      </c>
      <c r="CW199" s="320">
        <v>801982</v>
      </c>
      <c r="CY199" s="23" t="s">
        <v>243</v>
      </c>
      <c r="CZ199" s="320">
        <v>404366</v>
      </c>
      <c r="DA199" s="320">
        <v>466230</v>
      </c>
      <c r="DB199" s="320">
        <v>562400</v>
      </c>
      <c r="DC199" s="320">
        <v>719872</v>
      </c>
      <c r="DD199" s="320">
        <v>801982</v>
      </c>
    </row>
    <row r="200" spans="1:108" s="14" customFormat="1" ht="12.95" customHeight="1">
      <c r="A200"/>
      <c r="B200"/>
      <c r="C200" s="21"/>
      <c r="D200" s="14" t="s">
        <v>2517</v>
      </c>
      <c r="T200" s="1336"/>
      <c r="U200" s="1336"/>
      <c r="V200"/>
      <c r="W200"/>
      <c r="X200"/>
      <c r="Y200"/>
      <c r="AA200"/>
      <c r="AB200" s="1249" t="s">
        <v>919</v>
      </c>
      <c r="AC200"/>
      <c r="AF200"/>
      <c r="AG200"/>
      <c r="AH200" s="1"/>
      <c r="AJ200"/>
      <c r="AK200"/>
      <c r="AL200"/>
      <c r="AM200"/>
      <c r="AN200"/>
      <c r="AO200"/>
      <c r="AP200"/>
      <c r="AQ200"/>
      <c r="AR200"/>
      <c r="AS200"/>
      <c r="AU200"/>
      <c r="AV200"/>
      <c r="AW200"/>
      <c r="AX200"/>
      <c r="AY200"/>
      <c r="AZ200" s="30"/>
      <c r="BA200" s="30"/>
      <c r="BC200" s="3" t="s">
        <v>875</v>
      </c>
      <c r="BD200" s="435"/>
      <c r="BN200" s="23" t="s">
        <v>700</v>
      </c>
      <c r="BO200"/>
      <c r="BP200"/>
      <c r="BQ200"/>
      <c r="BR200"/>
      <c r="BS200">
        <v>2</v>
      </c>
      <c r="BT200" s="32" t="s">
        <v>193</v>
      </c>
      <c r="BU200"/>
      <c r="CB200" s="349" t="s">
        <v>70</v>
      </c>
      <c r="CC200" s="463">
        <v>3384</v>
      </c>
      <c r="CD200" s="464">
        <v>3626</v>
      </c>
      <c r="CE200" s="463">
        <v>4352</v>
      </c>
      <c r="CF200" s="464">
        <v>5028</v>
      </c>
      <c r="CG200" s="464">
        <v>5610</v>
      </c>
      <c r="CH200" s="465">
        <v>6190</v>
      </c>
      <c r="CI200" s="3"/>
      <c r="CJ200" s="860">
        <v>2275</v>
      </c>
      <c r="CK200" s="860">
        <v>2780</v>
      </c>
      <c r="CL200" s="860">
        <v>3318</v>
      </c>
      <c r="CM200" s="860">
        <v>4138</v>
      </c>
      <c r="CN200" s="860">
        <v>4399</v>
      </c>
      <c r="CR200" s="23" t="s">
        <v>244</v>
      </c>
      <c r="CS200" s="321">
        <v>532060</v>
      </c>
      <c r="CT200" s="321">
        <v>613460</v>
      </c>
      <c r="CU200" s="322">
        <v>740000</v>
      </c>
      <c r="CV200" s="321">
        <v>947200</v>
      </c>
      <c r="CW200" s="321">
        <v>1055240</v>
      </c>
      <c r="CY200" s="23" t="s">
        <v>244</v>
      </c>
      <c r="CZ200" s="321">
        <v>532060</v>
      </c>
      <c r="DA200" s="321">
        <v>613460</v>
      </c>
      <c r="DB200" s="321">
        <v>740000</v>
      </c>
      <c r="DC200" s="321">
        <v>947200</v>
      </c>
      <c r="DD200" s="321">
        <v>1055240</v>
      </c>
    </row>
    <row r="201" spans="1:108" s="14" customFormat="1" ht="12.95" customHeight="1">
      <c r="A201"/>
      <c r="B201"/>
      <c r="C201" s="21"/>
      <c r="E201" s="3" t="s">
        <v>2518</v>
      </c>
      <c r="V201"/>
      <c r="X201"/>
      <c r="Y201"/>
      <c r="Z201"/>
      <c r="AB201" s="1249" t="s">
        <v>920</v>
      </c>
      <c r="AC201"/>
      <c r="AH201" s="1"/>
      <c r="AJ201"/>
      <c r="AK201"/>
      <c r="AL201"/>
      <c r="AM201"/>
      <c r="AN201"/>
      <c r="AO201"/>
      <c r="AP201"/>
      <c r="AQ201"/>
      <c r="AR201"/>
      <c r="AS201"/>
      <c r="AU201"/>
      <c r="AV201"/>
      <c r="AW201"/>
      <c r="AX201"/>
      <c r="AY201"/>
      <c r="AZ201" s="30"/>
      <c r="BA201" s="30"/>
      <c r="BC201" s="3" t="s">
        <v>1062</v>
      </c>
      <c r="BD201" s="435"/>
      <c r="BN201" s="23" t="s">
        <v>701</v>
      </c>
      <c r="BO201" s="31"/>
      <c r="BP201" s="32"/>
      <c r="BQ201" s="32"/>
      <c r="BR201" s="32"/>
      <c r="BS201">
        <v>6</v>
      </c>
      <c r="BT201" s="32" t="s">
        <v>194</v>
      </c>
      <c r="BU201"/>
      <c r="CB201" s="349" t="s">
        <v>191</v>
      </c>
      <c r="CC201" s="463">
        <v>3090</v>
      </c>
      <c r="CD201" s="464">
        <v>3310</v>
      </c>
      <c r="CE201" s="463">
        <v>3972</v>
      </c>
      <c r="CF201" s="464">
        <v>4590</v>
      </c>
      <c r="CG201" s="464">
        <v>5120</v>
      </c>
      <c r="CH201" s="465">
        <v>5648</v>
      </c>
      <c r="CI201" s="3"/>
      <c r="CJ201" s="860">
        <v>2381</v>
      </c>
      <c r="CK201" s="860">
        <v>2688</v>
      </c>
      <c r="CL201" s="860">
        <v>3028</v>
      </c>
      <c r="CM201" s="860">
        <v>4011</v>
      </c>
      <c r="CN201" s="860">
        <v>4468</v>
      </c>
      <c r="CR201" s="23" t="s">
        <v>698</v>
      </c>
      <c r="CS201" s="320">
        <v>404366</v>
      </c>
      <c r="CT201" s="320">
        <v>466230</v>
      </c>
      <c r="CU201" s="320">
        <v>562400</v>
      </c>
      <c r="CV201" s="320">
        <v>719872</v>
      </c>
      <c r="CW201" s="320">
        <v>801982</v>
      </c>
      <c r="CY201" s="23" t="s">
        <v>698</v>
      </c>
      <c r="CZ201" s="320">
        <v>404366</v>
      </c>
      <c r="DA201" s="320">
        <v>466230</v>
      </c>
      <c r="DB201" s="320">
        <v>562400</v>
      </c>
      <c r="DC201" s="320">
        <v>719872</v>
      </c>
      <c r="DD201" s="320">
        <v>801982</v>
      </c>
    </row>
    <row r="202" spans="1:108" ht="12.95" customHeight="1">
      <c r="C202" s="21"/>
      <c r="AE202" s="8"/>
      <c r="BC202" t="s">
        <v>612</v>
      </c>
      <c r="BD202" s="435"/>
      <c r="BN202" s="23" t="s">
        <v>702</v>
      </c>
      <c r="BO202" s="14"/>
      <c r="BP202" s="32"/>
      <c r="BQ202" s="32"/>
      <c r="BR202" s="32"/>
      <c r="BS202">
        <v>7</v>
      </c>
      <c r="BT202" s="32" t="s">
        <v>195</v>
      </c>
      <c r="CB202" s="349" t="s">
        <v>192</v>
      </c>
      <c r="CC202" s="463">
        <v>3516</v>
      </c>
      <c r="CD202" s="464">
        <v>3768</v>
      </c>
      <c r="CE202" s="463">
        <v>4522</v>
      </c>
      <c r="CF202" s="464">
        <v>5222</v>
      </c>
      <c r="CG202" s="464">
        <v>5826</v>
      </c>
      <c r="CH202" s="465">
        <v>6430</v>
      </c>
      <c r="CI202" s="3"/>
      <c r="CJ202" s="860">
        <v>2608</v>
      </c>
      <c r="CK202" s="860">
        <v>2975</v>
      </c>
      <c r="CL202" s="860">
        <v>3446</v>
      </c>
      <c r="CM202" s="860">
        <v>4477</v>
      </c>
      <c r="CN202" s="860">
        <v>4878</v>
      </c>
      <c r="CR202" s="23" t="s">
        <v>699</v>
      </c>
      <c r="CS202" s="321">
        <v>532060</v>
      </c>
      <c r="CT202" s="321">
        <v>613460</v>
      </c>
      <c r="CU202" s="321">
        <v>740000</v>
      </c>
      <c r="CV202" s="321">
        <v>947200</v>
      </c>
      <c r="CW202" s="321">
        <v>1055240</v>
      </c>
      <c r="CX202" s="14"/>
      <c r="CY202" s="23" t="s">
        <v>699</v>
      </c>
      <c r="CZ202" s="321">
        <v>532060</v>
      </c>
      <c r="DA202" s="321">
        <v>613460</v>
      </c>
      <c r="DB202" s="321">
        <v>740000</v>
      </c>
      <c r="DC202" s="321">
        <v>947200</v>
      </c>
      <c r="DD202" s="321">
        <v>1055240</v>
      </c>
    </row>
    <row r="203" spans="1:108" ht="12.95" customHeight="1">
      <c r="A203" s="2" t="s">
        <v>587</v>
      </c>
      <c r="C203" s="2" t="s">
        <v>136</v>
      </c>
      <c r="BC203" t="s">
        <v>1063</v>
      </c>
      <c r="BN203" s="23" t="s">
        <v>703</v>
      </c>
      <c r="BO203" s="14"/>
      <c r="BP203" s="32"/>
      <c r="BQ203" s="32"/>
      <c r="BR203" s="32"/>
      <c r="BS203">
        <v>7</v>
      </c>
      <c r="BT203" s="32" t="s">
        <v>196</v>
      </c>
      <c r="CB203" s="349" t="s">
        <v>193</v>
      </c>
      <c r="CC203" s="463">
        <v>3462</v>
      </c>
      <c r="CD203" s="464">
        <v>3708</v>
      </c>
      <c r="CE203" s="463">
        <v>4450</v>
      </c>
      <c r="CF203" s="464">
        <v>5142</v>
      </c>
      <c r="CG203" s="464">
        <v>5734</v>
      </c>
      <c r="CH203" s="465">
        <v>6330</v>
      </c>
      <c r="CI203" s="3"/>
      <c r="CJ203" s="860">
        <v>3056</v>
      </c>
      <c r="CK203" s="860">
        <v>3221</v>
      </c>
      <c r="CL203" s="860">
        <v>4223</v>
      </c>
      <c r="CM203" s="860">
        <v>5256</v>
      </c>
      <c r="CN203" s="860">
        <v>5605</v>
      </c>
      <c r="CR203" s="23" t="s">
        <v>700</v>
      </c>
      <c r="CS203" s="320">
        <v>404366</v>
      </c>
      <c r="CT203" s="320">
        <v>466230</v>
      </c>
      <c r="CU203" s="320">
        <v>562400</v>
      </c>
      <c r="CV203" s="320">
        <v>719872</v>
      </c>
      <c r="CW203" s="320">
        <v>801982</v>
      </c>
      <c r="CX203" s="14"/>
      <c r="CY203" s="23" t="s">
        <v>700</v>
      </c>
      <c r="CZ203" s="320">
        <v>404366</v>
      </c>
      <c r="DA203" s="320">
        <v>466230</v>
      </c>
      <c r="DB203" s="320">
        <v>562400</v>
      </c>
      <c r="DC203" s="320">
        <v>719872</v>
      </c>
      <c r="DD203" s="320">
        <v>801982</v>
      </c>
    </row>
    <row r="204" spans="1:108" ht="12.95" customHeight="1">
      <c r="D204" s="1363" t="s">
        <v>385</v>
      </c>
      <c r="E204" s="1363"/>
      <c r="F204" s="1363"/>
      <c r="G204" s="1363"/>
      <c r="H204" s="1363"/>
      <c r="I204" s="1363"/>
      <c r="J204" s="1363"/>
      <c r="K204" s="1363"/>
      <c r="L204" s="1363"/>
      <c r="M204" s="1363"/>
      <c r="P204" s="1816">
        <f>M26</f>
        <v>4134913</v>
      </c>
      <c r="Q204" s="1794"/>
      <c r="R204" s="1794"/>
      <c r="S204" s="1794"/>
      <c r="T204" s="1794"/>
      <c r="U204" s="1794"/>
      <c r="BC204" t="s">
        <v>1064</v>
      </c>
      <c r="BN204" s="23" t="s">
        <v>704</v>
      </c>
      <c r="BS204">
        <v>6</v>
      </c>
      <c r="BT204" s="32" t="s">
        <v>197</v>
      </c>
      <c r="BU204" s="14"/>
      <c r="CB204" s="349" t="s">
        <v>194</v>
      </c>
      <c r="CC204" s="463">
        <v>1702</v>
      </c>
      <c r="CD204" s="464">
        <v>1822</v>
      </c>
      <c r="CE204" s="463">
        <v>2190</v>
      </c>
      <c r="CF204" s="464">
        <v>2530</v>
      </c>
      <c r="CG204" s="464">
        <v>2822</v>
      </c>
      <c r="CH204" s="465">
        <v>3114</v>
      </c>
      <c r="CI204" s="3"/>
      <c r="CJ204" s="860">
        <v>1151</v>
      </c>
      <c r="CK204" s="860">
        <v>1229</v>
      </c>
      <c r="CL204" s="860">
        <v>1613</v>
      </c>
      <c r="CM204" s="860">
        <v>2260</v>
      </c>
      <c r="CN204" s="860">
        <v>2709</v>
      </c>
      <c r="CR204" s="23" t="s">
        <v>701</v>
      </c>
      <c r="CS204" s="322">
        <v>319236</v>
      </c>
      <c r="CT204" s="322">
        <v>368076</v>
      </c>
      <c r="CU204" s="322">
        <v>444000</v>
      </c>
      <c r="CV204" s="322">
        <v>568320</v>
      </c>
      <c r="CW204" s="322">
        <v>633144</v>
      </c>
      <c r="CX204" s="14"/>
      <c r="CY204" s="23" t="s">
        <v>701</v>
      </c>
      <c r="CZ204" s="322">
        <v>319236</v>
      </c>
      <c r="DA204" s="322">
        <v>368076</v>
      </c>
      <c r="DB204" s="322">
        <v>444000</v>
      </c>
      <c r="DC204" s="322">
        <v>568320</v>
      </c>
      <c r="DD204" s="322">
        <v>633144</v>
      </c>
    </row>
    <row r="205" spans="1:108" ht="12.95" customHeight="1">
      <c r="C205" s="21"/>
      <c r="D205" s="1823" t="s">
        <v>1248</v>
      </c>
      <c r="E205" s="1363"/>
      <c r="F205" s="1363"/>
      <c r="G205" s="1363"/>
      <c r="H205" s="1363"/>
      <c r="I205" s="1363"/>
      <c r="J205" s="1363"/>
      <c r="K205" s="1363"/>
      <c r="L205" s="1363"/>
      <c r="M205" s="1363"/>
      <c r="P205" s="1794">
        <f>M27</f>
        <v>0</v>
      </c>
      <c r="Q205" s="1794"/>
      <c r="R205" s="1794"/>
      <c r="S205" s="1794"/>
      <c r="T205" s="1794"/>
      <c r="U205" s="1794"/>
      <c r="V205" s="28"/>
      <c r="W205" s="3" t="s">
        <v>1721</v>
      </c>
      <c r="Z205" s="1821" t="s">
        <v>1185</v>
      </c>
      <c r="AA205" s="1821"/>
      <c r="AB205" s="1821"/>
      <c r="AC205" s="1821"/>
      <c r="AD205" s="1821"/>
      <c r="AE205" s="1821"/>
      <c r="AF205" s="1821"/>
      <c r="AG205" s="1821"/>
      <c r="AH205" s="1821"/>
      <c r="AI205" s="1821"/>
      <c r="AJ205" s="1821"/>
      <c r="AK205" s="1821"/>
      <c r="AL205" s="1821"/>
      <c r="AM205" s="1821"/>
      <c r="AN205" s="1821"/>
      <c r="AP205" s="1339"/>
      <c r="AQ205" s="1339"/>
      <c r="BC205" t="s">
        <v>611</v>
      </c>
      <c r="BN205" s="23" t="s">
        <v>109</v>
      </c>
      <c r="BS205">
        <v>4</v>
      </c>
      <c r="BT205" s="32" t="s">
        <v>174</v>
      </c>
      <c r="BU205" s="14"/>
      <c r="CB205" s="349" t="s">
        <v>195</v>
      </c>
      <c r="CC205" s="463">
        <v>1644</v>
      </c>
      <c r="CD205" s="464">
        <v>1762</v>
      </c>
      <c r="CE205" s="463">
        <v>2114</v>
      </c>
      <c r="CF205" s="464">
        <v>2442</v>
      </c>
      <c r="CG205" s="464">
        <v>2724</v>
      </c>
      <c r="CH205" s="465">
        <v>3006</v>
      </c>
      <c r="CI205" s="3"/>
      <c r="CJ205" s="860">
        <v>1003</v>
      </c>
      <c r="CK205" s="860">
        <v>1101</v>
      </c>
      <c r="CL205" s="860">
        <v>1445</v>
      </c>
      <c r="CM205" s="860">
        <v>2025</v>
      </c>
      <c r="CN205" s="860">
        <v>2396</v>
      </c>
      <c r="CR205" s="23" t="s">
        <v>702</v>
      </c>
      <c r="CS205" s="320">
        <v>352022</v>
      </c>
      <c r="CT205" s="320">
        <v>405878</v>
      </c>
      <c r="CU205" s="320">
        <v>489600</v>
      </c>
      <c r="CV205" s="320">
        <v>626688</v>
      </c>
      <c r="CW205" s="320">
        <v>698170</v>
      </c>
      <c r="CX205" s="14"/>
      <c r="CY205" s="23" t="s">
        <v>702</v>
      </c>
      <c r="CZ205" s="320">
        <v>352022</v>
      </c>
      <c r="DA205" s="320">
        <v>405878</v>
      </c>
      <c r="DB205" s="320">
        <v>489600</v>
      </c>
      <c r="DC205" s="320">
        <v>626688</v>
      </c>
      <c r="DD205" s="320">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49" t="s">
        <v>196</v>
      </c>
      <c r="CC206" s="463">
        <v>1644</v>
      </c>
      <c r="CD206" s="464">
        <v>1762</v>
      </c>
      <c r="CE206" s="463">
        <v>2114</v>
      </c>
      <c r="CF206" s="464">
        <v>2442</v>
      </c>
      <c r="CG206" s="464">
        <v>2724</v>
      </c>
      <c r="CH206" s="465">
        <v>3006</v>
      </c>
      <c r="CI206" s="3"/>
      <c r="CJ206" s="860">
        <v>924</v>
      </c>
      <c r="CK206" s="860">
        <v>930</v>
      </c>
      <c r="CL206" s="860">
        <v>1201</v>
      </c>
      <c r="CM206" s="860">
        <v>1683</v>
      </c>
      <c r="CN206" s="860">
        <v>1834</v>
      </c>
      <c r="CR206" s="23" t="s">
        <v>703</v>
      </c>
      <c r="CS206" s="322">
        <v>352022</v>
      </c>
      <c r="CT206" s="322">
        <v>405878</v>
      </c>
      <c r="CU206" s="322">
        <v>489600</v>
      </c>
      <c r="CV206" s="322">
        <v>626688</v>
      </c>
      <c r="CW206" s="322">
        <v>698170</v>
      </c>
      <c r="CX206" s="14"/>
      <c r="CY206" s="23" t="s">
        <v>703</v>
      </c>
      <c r="CZ206" s="322">
        <v>352022</v>
      </c>
      <c r="DA206" s="322">
        <v>405878</v>
      </c>
      <c r="DB206" s="322">
        <v>489600</v>
      </c>
      <c r="DC206" s="322">
        <v>626688</v>
      </c>
      <c r="DD206" s="322">
        <v>698170</v>
      </c>
    </row>
    <row r="207" spans="1:108" ht="12.95" customHeight="1">
      <c r="A207" s="2" t="s">
        <v>590</v>
      </c>
      <c r="C207" s="2" t="s">
        <v>552</v>
      </c>
      <c r="BC207" s="436" t="s">
        <v>1065</v>
      </c>
      <c r="BN207" s="23" t="s">
        <v>45</v>
      </c>
      <c r="BS207">
        <v>6</v>
      </c>
      <c r="BT207" s="32" t="s">
        <v>199</v>
      </c>
      <c r="CB207" s="349" t="s">
        <v>197</v>
      </c>
      <c r="CC207" s="463">
        <v>2404</v>
      </c>
      <c r="CD207" s="464">
        <v>2576</v>
      </c>
      <c r="CE207" s="463">
        <v>3092</v>
      </c>
      <c r="CF207" s="464">
        <v>3572</v>
      </c>
      <c r="CG207" s="464">
        <v>3984</v>
      </c>
      <c r="CH207" s="465">
        <v>4396</v>
      </c>
      <c r="CI207" s="3"/>
      <c r="CJ207" s="860">
        <v>1724</v>
      </c>
      <c r="CK207" s="860">
        <v>1894</v>
      </c>
      <c r="CL207" s="860">
        <v>2420</v>
      </c>
      <c r="CM207" s="860">
        <v>3234</v>
      </c>
      <c r="CN207" s="860">
        <v>3663</v>
      </c>
      <c r="CR207" s="23" t="s">
        <v>704</v>
      </c>
      <c r="CS207" s="320">
        <v>384234</v>
      </c>
      <c r="CT207" s="320">
        <v>443018</v>
      </c>
      <c r="CU207" s="320">
        <v>534400</v>
      </c>
      <c r="CV207" s="320">
        <v>684032</v>
      </c>
      <c r="CW207" s="320">
        <v>762054</v>
      </c>
      <c r="CX207" s="14"/>
      <c r="CY207" s="23" t="s">
        <v>704</v>
      </c>
      <c r="CZ207" s="320">
        <v>384234</v>
      </c>
      <c r="DA207" s="320">
        <v>443018</v>
      </c>
      <c r="DB207" s="320">
        <v>534400</v>
      </c>
      <c r="DC207" s="320">
        <v>684032</v>
      </c>
      <c r="DD207" s="320">
        <v>762054</v>
      </c>
    </row>
    <row r="208" spans="1:108" ht="12.95" customHeight="1">
      <c r="C208" s="21"/>
      <c r="D208" s="1422" t="s">
        <v>2623</v>
      </c>
      <c r="E208" s="1422"/>
      <c r="F208" s="1422"/>
      <c r="G208" s="1422"/>
      <c r="H208" s="1422"/>
      <c r="I208" s="1422"/>
      <c r="J208" s="1422"/>
      <c r="K208" s="1422"/>
      <c r="L208" s="1422"/>
      <c r="M208" s="1422"/>
      <c r="BC208" s="3" t="s">
        <v>2208</v>
      </c>
      <c r="BN208" s="23" t="s">
        <v>46</v>
      </c>
      <c r="BS208">
        <v>7</v>
      </c>
      <c r="BT208" s="32" t="s">
        <v>200</v>
      </c>
      <c r="CB208" s="349" t="s">
        <v>174</v>
      </c>
      <c r="CC208" s="463">
        <v>2642</v>
      </c>
      <c r="CD208" s="464">
        <v>2830</v>
      </c>
      <c r="CE208" s="463">
        <v>3396</v>
      </c>
      <c r="CF208" s="464">
        <v>3926</v>
      </c>
      <c r="CG208" s="464">
        <v>4380</v>
      </c>
      <c r="CH208" s="465">
        <v>4832</v>
      </c>
      <c r="CI208" s="3"/>
      <c r="CJ208" s="860">
        <v>1879</v>
      </c>
      <c r="CK208" s="860">
        <v>2089</v>
      </c>
      <c r="CL208" s="860">
        <v>2740</v>
      </c>
      <c r="CM208" s="860">
        <v>3743</v>
      </c>
      <c r="CN208" s="860">
        <v>3960</v>
      </c>
      <c r="CR208" s="23" t="s">
        <v>109</v>
      </c>
      <c r="CS208" s="322">
        <v>384234</v>
      </c>
      <c r="CT208" s="322">
        <v>443018</v>
      </c>
      <c r="CU208" s="322">
        <v>534400</v>
      </c>
      <c r="CV208" s="322">
        <v>684032</v>
      </c>
      <c r="CW208" s="322">
        <v>762054</v>
      </c>
      <c r="CX208" s="14"/>
      <c r="CY208" s="23" t="s">
        <v>109</v>
      </c>
      <c r="CZ208" s="322">
        <v>384234</v>
      </c>
      <c r="DA208" s="322">
        <v>443018</v>
      </c>
      <c r="DB208" s="322">
        <v>534400</v>
      </c>
      <c r="DC208" s="322">
        <v>684032</v>
      </c>
      <c r="DD208" s="322">
        <v>762054</v>
      </c>
    </row>
    <row r="209" spans="1:108" ht="12.95" customHeight="1">
      <c r="BC209" t="s">
        <v>1066</v>
      </c>
      <c r="BN209" s="23" t="s">
        <v>47</v>
      </c>
      <c r="BS209">
        <v>7</v>
      </c>
      <c r="BT209" s="32" t="s">
        <v>201</v>
      </c>
      <c r="CB209" s="349" t="s">
        <v>198</v>
      </c>
      <c r="CC209" s="463">
        <v>1724</v>
      </c>
      <c r="CD209" s="464">
        <v>1846</v>
      </c>
      <c r="CE209" s="463">
        <v>2216</v>
      </c>
      <c r="CF209" s="464">
        <v>2560</v>
      </c>
      <c r="CG209" s="464">
        <v>2856</v>
      </c>
      <c r="CH209" s="465">
        <v>3152</v>
      </c>
      <c r="CI209" s="3"/>
      <c r="CJ209" s="860">
        <v>1130</v>
      </c>
      <c r="CK209" s="860">
        <v>1209</v>
      </c>
      <c r="CL209" s="860">
        <v>1566</v>
      </c>
      <c r="CM209" s="860">
        <v>2194</v>
      </c>
      <c r="CN209" s="860">
        <v>2549</v>
      </c>
      <c r="CR209" s="23" t="s">
        <v>110</v>
      </c>
      <c r="CS209" s="320">
        <v>307732</v>
      </c>
      <c r="CT209" s="320">
        <v>354812</v>
      </c>
      <c r="CU209" s="320">
        <v>428000</v>
      </c>
      <c r="CV209" s="320">
        <v>547840</v>
      </c>
      <c r="CW209" s="320">
        <v>610328</v>
      </c>
      <c r="CX209" s="14"/>
      <c r="CY209" s="23" t="s">
        <v>110</v>
      </c>
      <c r="CZ209" s="320">
        <v>307732</v>
      </c>
      <c r="DA209" s="320">
        <v>354812</v>
      </c>
      <c r="DB209" s="320">
        <v>428000</v>
      </c>
      <c r="DC209" s="320">
        <v>547840</v>
      </c>
      <c r="DD209" s="320">
        <v>610328</v>
      </c>
    </row>
    <row r="210" spans="1:108" ht="12.95" customHeight="1">
      <c r="A210" s="2" t="s">
        <v>591</v>
      </c>
      <c r="C210" s="2" t="s">
        <v>388</v>
      </c>
      <c r="BC210" t="s">
        <v>660</v>
      </c>
      <c r="BN210" s="23" t="s">
        <v>48</v>
      </c>
      <c r="BS210">
        <v>5</v>
      </c>
      <c r="BT210" s="32" t="s">
        <v>202</v>
      </c>
      <c r="CB210" s="349" t="s">
        <v>199</v>
      </c>
      <c r="CC210" s="463">
        <v>1680</v>
      </c>
      <c r="CD210" s="464">
        <v>1800</v>
      </c>
      <c r="CE210" s="463">
        <v>2160</v>
      </c>
      <c r="CF210" s="464">
        <v>2496</v>
      </c>
      <c r="CG210" s="464">
        <v>2784</v>
      </c>
      <c r="CH210" s="465">
        <v>3072</v>
      </c>
      <c r="CI210" s="3"/>
      <c r="CJ210" s="860">
        <v>1195</v>
      </c>
      <c r="CK210" s="860">
        <v>1197</v>
      </c>
      <c r="CL210" s="860">
        <v>1522</v>
      </c>
      <c r="CM210" s="860">
        <v>2133</v>
      </c>
      <c r="CN210" s="860">
        <v>2556</v>
      </c>
      <c r="CR210" s="23" t="s">
        <v>45</v>
      </c>
      <c r="CS210" s="322">
        <v>331890</v>
      </c>
      <c r="CT210" s="322">
        <v>382666</v>
      </c>
      <c r="CU210" s="322">
        <v>461600</v>
      </c>
      <c r="CV210" s="322">
        <v>590848</v>
      </c>
      <c r="CW210" s="322">
        <v>658242</v>
      </c>
      <c r="CX210" s="14"/>
      <c r="CY210" s="23" t="s">
        <v>45</v>
      </c>
      <c r="CZ210" s="322">
        <v>331890</v>
      </c>
      <c r="DA210" s="322">
        <v>382666</v>
      </c>
      <c r="DB210" s="322">
        <v>461600</v>
      </c>
      <c r="DC210" s="322">
        <v>590848</v>
      </c>
      <c r="DD210" s="322">
        <v>658242</v>
      </c>
    </row>
    <row r="211" spans="1:108" ht="12.95" customHeight="1">
      <c r="C211" s="21"/>
      <c r="D211" s="1422" t="s">
        <v>1044</v>
      </c>
      <c r="E211" s="1422"/>
      <c r="F211" s="1422"/>
      <c r="G211" s="1422"/>
      <c r="H211" s="1422"/>
      <c r="I211" s="1422"/>
      <c r="J211" s="1422"/>
      <c r="K211" s="1422"/>
      <c r="L211" s="1422"/>
      <c r="M211" s="1422"/>
      <c r="BN211" s="23" t="s">
        <v>129</v>
      </c>
      <c r="BS211">
        <v>7</v>
      </c>
      <c r="BT211" s="32" t="s">
        <v>130</v>
      </c>
      <c r="CB211" s="349" t="s">
        <v>200</v>
      </c>
      <c r="CC211" s="463">
        <v>1644</v>
      </c>
      <c r="CD211" s="464">
        <v>1762</v>
      </c>
      <c r="CE211" s="463">
        <v>2114</v>
      </c>
      <c r="CF211" s="464">
        <v>2442</v>
      </c>
      <c r="CG211" s="464">
        <v>2724</v>
      </c>
      <c r="CH211" s="465">
        <v>3006</v>
      </c>
      <c r="CI211" s="3"/>
      <c r="CJ211" s="860">
        <v>926</v>
      </c>
      <c r="CK211" s="860">
        <v>1030</v>
      </c>
      <c r="CL211" s="860">
        <v>1351</v>
      </c>
      <c r="CM211" s="860">
        <v>1778</v>
      </c>
      <c r="CN211" s="860">
        <v>2229</v>
      </c>
      <c r="CR211" s="23" t="s">
        <v>46</v>
      </c>
      <c r="CS211" s="320">
        <v>352022</v>
      </c>
      <c r="CT211" s="320">
        <v>405878</v>
      </c>
      <c r="CU211" s="320">
        <v>489600</v>
      </c>
      <c r="CV211" s="320">
        <v>626688</v>
      </c>
      <c r="CW211" s="320">
        <v>698170</v>
      </c>
      <c r="CX211" s="14"/>
      <c r="CY211" s="23" t="s">
        <v>46</v>
      </c>
      <c r="CZ211" s="320">
        <v>352022</v>
      </c>
      <c r="DA211" s="320">
        <v>405878</v>
      </c>
      <c r="DB211" s="320">
        <v>489600</v>
      </c>
      <c r="DC211" s="320">
        <v>626688</v>
      </c>
      <c r="DD211" s="320">
        <v>698170</v>
      </c>
    </row>
    <row r="212" spans="1:108" ht="12.95" customHeight="1">
      <c r="C212" s="21"/>
      <c r="D212" s="3" t="s">
        <v>2233</v>
      </c>
      <c r="Q212" s="1336">
        <v>75</v>
      </c>
      <c r="R212" s="1336"/>
      <c r="T212" s="1824">
        <f>IFERROR(Q212/AG440,0)</f>
        <v>0.50335570469798663</v>
      </c>
      <c r="U212" s="1825"/>
      <c r="BC212" t="s">
        <v>307</v>
      </c>
      <c r="BI212" t="s">
        <v>1185</v>
      </c>
      <c r="BN212" s="23" t="s">
        <v>49</v>
      </c>
      <c r="BS212">
        <v>4</v>
      </c>
      <c r="BT212" s="32" t="s">
        <v>203</v>
      </c>
      <c r="CB212" s="349" t="s">
        <v>201</v>
      </c>
      <c r="CC212" s="463">
        <v>1644</v>
      </c>
      <c r="CD212" s="464">
        <v>1762</v>
      </c>
      <c r="CE212" s="463">
        <v>2114</v>
      </c>
      <c r="CF212" s="464">
        <v>2442</v>
      </c>
      <c r="CG212" s="464">
        <v>2724</v>
      </c>
      <c r="CH212" s="465">
        <v>3006</v>
      </c>
      <c r="CI212" s="3"/>
      <c r="CJ212" s="860">
        <v>777</v>
      </c>
      <c r="CK212" s="860">
        <v>854</v>
      </c>
      <c r="CL212" s="860">
        <v>1120</v>
      </c>
      <c r="CM212" s="860">
        <v>1569</v>
      </c>
      <c r="CN212" s="860">
        <v>1708</v>
      </c>
      <c r="CR212" s="23" t="s">
        <v>47</v>
      </c>
      <c r="CS212" s="322">
        <v>352022</v>
      </c>
      <c r="CT212" s="322">
        <v>405878</v>
      </c>
      <c r="CU212" s="322">
        <v>489600</v>
      </c>
      <c r="CV212" s="322">
        <v>626688</v>
      </c>
      <c r="CW212" s="322">
        <v>698170</v>
      </c>
      <c r="CX212" s="14"/>
      <c r="CY212" s="23" t="s">
        <v>47</v>
      </c>
      <c r="CZ212" s="322">
        <v>352022</v>
      </c>
      <c r="DA212" s="322">
        <v>405878</v>
      </c>
      <c r="DB212" s="322">
        <v>489600</v>
      </c>
      <c r="DC212" s="322">
        <v>626688</v>
      </c>
      <c r="DD212" s="322">
        <v>698170</v>
      </c>
    </row>
    <row r="213" spans="1:108" ht="12.95" customHeight="1">
      <c r="D213" s="1144" t="s">
        <v>2476</v>
      </c>
      <c r="BC213" t="s">
        <v>527</v>
      </c>
      <c r="BI213" s="3" t="s">
        <v>2230</v>
      </c>
      <c r="BN213" s="23" t="s">
        <v>50</v>
      </c>
      <c r="BS213">
        <v>6</v>
      </c>
      <c r="BT213" s="32" t="s">
        <v>204</v>
      </c>
      <c r="CB213" s="349" t="s">
        <v>202</v>
      </c>
      <c r="CC213" s="463">
        <v>1644</v>
      </c>
      <c r="CD213" s="464">
        <v>1762</v>
      </c>
      <c r="CE213" s="463">
        <v>2114</v>
      </c>
      <c r="CF213" s="464">
        <v>2442</v>
      </c>
      <c r="CG213" s="464">
        <v>2724</v>
      </c>
      <c r="CH213" s="465">
        <v>3006</v>
      </c>
      <c r="CI213" s="3"/>
      <c r="CJ213" s="860">
        <v>1082</v>
      </c>
      <c r="CK213" s="860">
        <v>1089</v>
      </c>
      <c r="CL213" s="860">
        <v>1429</v>
      </c>
      <c r="CM213" s="860">
        <v>1967</v>
      </c>
      <c r="CN213" s="860">
        <v>2272</v>
      </c>
      <c r="CR213" s="23" t="s">
        <v>48</v>
      </c>
      <c r="CS213" s="320">
        <v>307732</v>
      </c>
      <c r="CT213" s="320">
        <v>354812</v>
      </c>
      <c r="CU213" s="320">
        <v>428000</v>
      </c>
      <c r="CV213" s="320">
        <v>547840</v>
      </c>
      <c r="CW213" s="320">
        <v>610328</v>
      </c>
      <c r="CX213" s="14"/>
      <c r="CY213" s="23" t="s">
        <v>48</v>
      </c>
      <c r="CZ213" s="320">
        <v>307732</v>
      </c>
      <c r="DA213" s="320">
        <v>354812</v>
      </c>
      <c r="DB213" s="320">
        <v>428000</v>
      </c>
      <c r="DC213" s="320">
        <v>547840</v>
      </c>
      <c r="DD213" s="320">
        <v>610328</v>
      </c>
    </row>
    <row r="214" spans="1:108" ht="12.95" customHeight="1">
      <c r="D214" s="1813" t="s">
        <v>1041</v>
      </c>
      <c r="E214" s="1813"/>
      <c r="F214" s="1813"/>
      <c r="G214" s="1813"/>
      <c r="H214" s="1813"/>
      <c r="I214" s="1813"/>
      <c r="J214" s="1813"/>
      <c r="K214" s="1813"/>
      <c r="L214" s="1813"/>
      <c r="M214" s="1813"/>
      <c r="N214" s="1813"/>
      <c r="O214" s="1813"/>
      <c r="P214" s="1813"/>
      <c r="Q214" s="1813"/>
      <c r="R214" s="1813"/>
      <c r="S214" s="1813"/>
      <c r="T214" s="1813"/>
      <c r="U214" s="1813"/>
      <c r="V214" s="1813"/>
      <c r="W214" s="1813"/>
      <c r="X214" s="1813"/>
      <c r="Y214" s="1813"/>
      <c r="Z214" s="1813"/>
      <c r="AU214" s="21"/>
      <c r="AV214" s="21"/>
      <c r="AW214" s="21"/>
      <c r="AX214" s="21"/>
      <c r="AY214" s="21"/>
      <c r="BC214" t="s">
        <v>531</v>
      </c>
      <c r="BI214" s="3" t="s">
        <v>2222</v>
      </c>
      <c r="BN214" s="23" t="s">
        <v>326</v>
      </c>
      <c r="BS214">
        <v>6</v>
      </c>
      <c r="BT214" s="32" t="s">
        <v>205</v>
      </c>
      <c r="CB214" s="349" t="s">
        <v>130</v>
      </c>
      <c r="CC214" s="463">
        <v>1780</v>
      </c>
      <c r="CD214" s="464">
        <v>1906</v>
      </c>
      <c r="CE214" s="463">
        <v>2286</v>
      </c>
      <c r="CF214" s="464">
        <v>2642</v>
      </c>
      <c r="CG214" s="464">
        <v>2946</v>
      </c>
      <c r="CH214" s="465">
        <v>3252</v>
      </c>
      <c r="CI214" s="3"/>
      <c r="CJ214" s="860">
        <v>987</v>
      </c>
      <c r="CK214" s="860">
        <v>1123</v>
      </c>
      <c r="CL214" s="860">
        <v>1439</v>
      </c>
      <c r="CM214" s="860">
        <v>1891</v>
      </c>
      <c r="CN214" s="860">
        <v>2416</v>
      </c>
      <c r="CR214" s="23" t="s">
        <v>129</v>
      </c>
      <c r="CS214" s="322">
        <v>352022</v>
      </c>
      <c r="CT214" s="322">
        <v>405878</v>
      </c>
      <c r="CU214" s="322">
        <v>489600</v>
      </c>
      <c r="CV214" s="322">
        <v>626688</v>
      </c>
      <c r="CW214" s="322">
        <v>698170</v>
      </c>
      <c r="CX214" s="14"/>
      <c r="CY214" s="23" t="s">
        <v>129</v>
      </c>
      <c r="CZ214" s="322">
        <v>352022</v>
      </c>
      <c r="DA214" s="322">
        <v>405878</v>
      </c>
      <c r="DB214" s="322">
        <v>489600</v>
      </c>
      <c r="DC214" s="322">
        <v>626688</v>
      </c>
      <c r="DD214" s="322">
        <v>698170</v>
      </c>
    </row>
    <row r="215" spans="1:108" ht="12.95" customHeight="1">
      <c r="D215" s="3" t="s">
        <v>1654</v>
      </c>
      <c r="Z215" s="40"/>
      <c r="AB215" s="1812">
        <v>55</v>
      </c>
      <c r="AC215" s="1812"/>
      <c r="AD215" s="1812"/>
      <c r="AE215" s="1812"/>
      <c r="AF215" s="1812"/>
      <c r="AG215" s="1812"/>
      <c r="AH215" s="1812"/>
      <c r="AI215" s="1812"/>
      <c r="AJ215" s="1812"/>
      <c r="AK215" s="1812"/>
      <c r="AL215" s="1812"/>
      <c r="AM215" s="21"/>
      <c r="AN215" s="21"/>
      <c r="AO215" s="21"/>
      <c r="AP215" s="21"/>
      <c r="AQ215" s="21"/>
      <c r="AR215" s="21"/>
      <c r="AS215" s="21"/>
      <c r="AT215" s="21"/>
      <c r="AU215" s="21"/>
      <c r="AV215" s="21"/>
      <c r="AW215" s="21"/>
      <c r="AX215" s="21"/>
      <c r="AY215" s="21"/>
      <c r="BC215" t="s">
        <v>528</v>
      </c>
      <c r="BI215" s="3" t="s">
        <v>2223</v>
      </c>
      <c r="CB215" s="349" t="s">
        <v>203</v>
      </c>
      <c r="CC215" s="466">
        <v>2620</v>
      </c>
      <c r="CD215" s="467">
        <v>2806</v>
      </c>
      <c r="CE215" s="466">
        <v>3370</v>
      </c>
      <c r="CF215" s="467">
        <v>3892</v>
      </c>
      <c r="CG215" s="467">
        <v>4342</v>
      </c>
      <c r="CH215" s="468">
        <v>4792</v>
      </c>
      <c r="CI215" s="3"/>
      <c r="CJ215" s="860">
        <v>1871</v>
      </c>
      <c r="CK215" s="860">
        <v>2147</v>
      </c>
      <c r="CL215" s="860">
        <v>2569</v>
      </c>
      <c r="CM215" s="860">
        <v>3505</v>
      </c>
      <c r="CN215" s="860">
        <v>4080</v>
      </c>
      <c r="CR215" s="23" t="s">
        <v>49</v>
      </c>
      <c r="CS215" s="320">
        <v>404366</v>
      </c>
      <c r="CT215" s="320">
        <v>466230</v>
      </c>
      <c r="CU215" s="320">
        <v>562400</v>
      </c>
      <c r="CV215" s="320">
        <v>719872</v>
      </c>
      <c r="CW215" s="320">
        <v>801982</v>
      </c>
      <c r="CX215" s="14"/>
      <c r="CY215" s="23" t="s">
        <v>49</v>
      </c>
      <c r="CZ215" s="320">
        <v>404366</v>
      </c>
      <c r="DA215" s="320">
        <v>466230</v>
      </c>
      <c r="DB215" s="320">
        <v>562400</v>
      </c>
      <c r="DC215" s="320">
        <v>719872</v>
      </c>
      <c r="DD215" s="320">
        <v>801982</v>
      </c>
    </row>
    <row r="216" spans="1:108" ht="12.95" customHeight="1">
      <c r="D216" s="3" t="s">
        <v>1652</v>
      </c>
      <c r="Z216" s="40"/>
      <c r="AB216" s="1812"/>
      <c r="AC216" s="1812"/>
      <c r="AD216" s="1812"/>
      <c r="AE216" s="1812"/>
      <c r="AF216" s="1812"/>
      <c r="AG216" s="1812"/>
      <c r="AH216" s="1812"/>
      <c r="AI216" s="1812"/>
      <c r="AJ216" s="1812"/>
      <c r="AK216" s="1812"/>
      <c r="AL216" s="1812"/>
      <c r="AM216" s="21"/>
      <c r="AN216" s="21"/>
      <c r="AO216" s="21"/>
      <c r="AP216" s="21"/>
      <c r="AQ216" s="21"/>
      <c r="AR216" s="21"/>
      <c r="AS216" s="21"/>
      <c r="AT216" s="21"/>
      <c r="AU216" s="21"/>
      <c r="AV216" s="21"/>
      <c r="AW216" s="21"/>
      <c r="AX216" s="21"/>
      <c r="AY216" s="21"/>
      <c r="BC216" t="s">
        <v>567</v>
      </c>
      <c r="BI216" t="s">
        <v>2221</v>
      </c>
      <c r="CB216" s="349" t="s">
        <v>204</v>
      </c>
      <c r="CC216" s="469">
        <v>2204</v>
      </c>
      <c r="CD216" s="470">
        <v>2362</v>
      </c>
      <c r="CE216" s="469">
        <v>2832</v>
      </c>
      <c r="CF216" s="470">
        <v>3272</v>
      </c>
      <c r="CG216" s="470">
        <v>3652</v>
      </c>
      <c r="CH216" s="471">
        <v>4030</v>
      </c>
      <c r="CI216" s="3"/>
      <c r="CJ216" s="860">
        <v>1602</v>
      </c>
      <c r="CK216" s="860">
        <v>1613</v>
      </c>
      <c r="CL216" s="860">
        <v>2116</v>
      </c>
      <c r="CM216" s="860">
        <v>2944</v>
      </c>
      <c r="CN216" s="860">
        <v>3299</v>
      </c>
      <c r="CR216" s="23" t="s">
        <v>50</v>
      </c>
      <c r="CS216" s="322">
        <v>331890</v>
      </c>
      <c r="CT216" s="322">
        <v>382666</v>
      </c>
      <c r="CU216" s="322">
        <v>461600</v>
      </c>
      <c r="CV216" s="322">
        <v>590848</v>
      </c>
      <c r="CW216" s="322">
        <v>658242</v>
      </c>
      <c r="CX216" s="14"/>
      <c r="CY216" s="23" t="s">
        <v>50</v>
      </c>
      <c r="CZ216" s="322">
        <v>331890</v>
      </c>
      <c r="DA216" s="322">
        <v>382666</v>
      </c>
      <c r="DB216" s="322">
        <v>461600</v>
      </c>
      <c r="DC216" s="322">
        <v>590848</v>
      </c>
      <c r="DD216" s="322">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49" t="s">
        <v>205</v>
      </c>
      <c r="CC217" s="472">
        <v>1680</v>
      </c>
      <c r="CD217" s="473">
        <v>1800</v>
      </c>
      <c r="CE217" s="472">
        <v>2160</v>
      </c>
      <c r="CF217" s="473">
        <v>2496</v>
      </c>
      <c r="CG217" s="473">
        <v>2784</v>
      </c>
      <c r="CH217" s="474">
        <v>3072</v>
      </c>
      <c r="CI217" s="3"/>
      <c r="CJ217" s="860">
        <v>1195</v>
      </c>
      <c r="CK217" s="860">
        <v>1197</v>
      </c>
      <c r="CL217" s="860">
        <v>1522</v>
      </c>
      <c r="CM217" s="860">
        <v>2133</v>
      </c>
      <c r="CN217" s="860">
        <v>2556</v>
      </c>
      <c r="CR217" s="23" t="s">
        <v>326</v>
      </c>
      <c r="CS217" s="320">
        <v>331890</v>
      </c>
      <c r="CT217" s="320">
        <v>382666</v>
      </c>
      <c r="CU217" s="320">
        <v>461600</v>
      </c>
      <c r="CV217" s="320">
        <v>590848</v>
      </c>
      <c r="CW217" s="320">
        <v>658242</v>
      </c>
      <c r="CX217" s="14"/>
      <c r="CY217" s="23" t="s">
        <v>326</v>
      </c>
      <c r="CZ217" s="320">
        <v>331890</v>
      </c>
      <c r="DA217" s="320">
        <v>382666</v>
      </c>
      <c r="DB217" s="320">
        <v>461600</v>
      </c>
      <c r="DC217" s="320">
        <v>590848</v>
      </c>
      <c r="DD217" s="320">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22" t="s">
        <v>875</v>
      </c>
      <c r="E220" s="1422"/>
      <c r="F220" s="1422"/>
      <c r="G220" s="1422"/>
      <c r="H220" s="1422"/>
      <c r="I220" s="1422"/>
      <c r="J220" s="1422"/>
      <c r="K220" s="1422"/>
      <c r="L220" s="1422"/>
      <c r="M220" s="1422"/>
      <c r="N220" s="1422"/>
      <c r="O220" s="1422"/>
      <c r="P220" s="1422"/>
      <c r="Q220" s="1422"/>
      <c r="R220" s="1422"/>
      <c r="S220" s="1422"/>
      <c r="T220" s="1422"/>
      <c r="U220" s="1422"/>
      <c r="V220" s="1422"/>
      <c r="W220" s="1422"/>
      <c r="X220" s="1422"/>
      <c r="Y220" s="1422"/>
      <c r="Z220" s="1422"/>
      <c r="AC220" s="1822" t="s">
        <v>876</v>
      </c>
      <c r="AD220" s="1822"/>
      <c r="AE220" s="1822"/>
      <c r="AF220" s="1822"/>
      <c r="AG220" s="1822"/>
      <c r="AH220" s="1822"/>
      <c r="AI220" s="1822"/>
      <c r="AJ220" s="1822"/>
      <c r="AK220" s="1822"/>
      <c r="AL220" s="1822"/>
      <c r="AM220" s="1822"/>
      <c r="AN220" s="1822"/>
      <c r="AO220" s="1822"/>
      <c r="AP220" s="1822"/>
      <c r="AQ220" s="1822"/>
      <c r="BA220" s="3"/>
      <c r="BC220" t="s">
        <v>300</v>
      </c>
    </row>
    <row r="221" spans="1:108" ht="12.95" customHeight="1">
      <c r="A221" s="2"/>
      <c r="B221" s="14"/>
      <c r="C221" s="2"/>
      <c r="BA221" s="3"/>
    </row>
    <row r="222" spans="1:108" ht="12.95" customHeight="1">
      <c r="A222" s="1427" t="s">
        <v>541</v>
      </c>
      <c r="B222" s="1427"/>
      <c r="C222" s="1427"/>
      <c r="D222" s="1427"/>
      <c r="E222" s="1427"/>
      <c r="F222" s="1427"/>
      <c r="G222" s="1427"/>
      <c r="H222" s="1427"/>
      <c r="I222" s="1427"/>
      <c r="J222" s="1427"/>
      <c r="K222" s="1427"/>
      <c r="L222" s="1427"/>
      <c r="M222" s="1427"/>
      <c r="N222" s="1427"/>
      <c r="O222" s="1427"/>
      <c r="P222" s="1427"/>
      <c r="Q222" s="1427"/>
      <c r="R222" s="1427"/>
      <c r="S222" s="1427"/>
      <c r="T222" s="1427"/>
      <c r="U222" s="1427"/>
      <c r="V222" s="1427"/>
      <c r="W222" s="1427"/>
      <c r="X222" s="1427"/>
      <c r="Y222" s="1427"/>
      <c r="Z222" s="1427"/>
      <c r="AA222" s="1427"/>
      <c r="AB222" s="1427"/>
      <c r="AC222" s="1427"/>
      <c r="AD222" s="1427"/>
      <c r="AE222" s="1427"/>
      <c r="AF222" s="1427"/>
      <c r="AG222" s="1427"/>
      <c r="AH222" s="1427"/>
      <c r="AI222" s="1427"/>
      <c r="AJ222" s="1427"/>
      <c r="AK222" s="1427"/>
      <c r="AL222" s="1427"/>
      <c r="AM222" s="1427"/>
      <c r="AN222" s="1427"/>
      <c r="AO222" s="1427"/>
      <c r="AP222" s="1427"/>
      <c r="AQ222" s="1427"/>
      <c r="AR222" s="1427"/>
      <c r="AS222" s="1427"/>
      <c r="AT222" s="1427"/>
      <c r="AU222" s="95"/>
      <c r="AV222" s="95"/>
      <c r="AW222" s="95"/>
      <c r="AX222" s="95"/>
      <c r="AY222" s="95"/>
      <c r="AZ222" s="3"/>
      <c r="BA222" s="3"/>
      <c r="BP222" s="34"/>
    </row>
    <row r="223" spans="1:108" ht="12.95" customHeight="1">
      <c r="A223" s="1427"/>
      <c r="B223" s="1427"/>
      <c r="C223" s="1427"/>
      <c r="D223" s="1427"/>
      <c r="E223" s="1427"/>
      <c r="F223" s="1427"/>
      <c r="G223" s="1427"/>
      <c r="H223" s="1427"/>
      <c r="I223" s="1427"/>
      <c r="J223" s="1427"/>
      <c r="K223" s="1427"/>
      <c r="L223" s="1427"/>
      <c r="M223" s="1427"/>
      <c r="N223" s="1427"/>
      <c r="O223" s="1427"/>
      <c r="P223" s="1427"/>
      <c r="Q223" s="1427"/>
      <c r="R223" s="1427"/>
      <c r="S223" s="1427"/>
      <c r="T223" s="1427"/>
      <c r="U223" s="1427"/>
      <c r="V223" s="1427"/>
      <c r="W223" s="1427"/>
      <c r="X223" s="1427"/>
      <c r="Y223" s="1427"/>
      <c r="Z223" s="1427"/>
      <c r="AA223" s="1427"/>
      <c r="AB223" s="1427"/>
      <c r="AC223" s="1427"/>
      <c r="AD223" s="1427"/>
      <c r="AE223" s="1427"/>
      <c r="AF223" s="1427"/>
      <c r="AG223" s="1427"/>
      <c r="AH223" s="1427"/>
      <c r="AI223" s="1427"/>
      <c r="AJ223" s="1427"/>
      <c r="AK223" s="1427"/>
      <c r="AL223" s="1427"/>
      <c r="AM223" s="1427"/>
      <c r="AN223" s="1427"/>
      <c r="AO223" s="1427"/>
      <c r="AP223" s="1427"/>
      <c r="AQ223" s="1427"/>
      <c r="AR223" s="1427"/>
      <c r="AS223" s="1427"/>
      <c r="AT223" s="1427"/>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6" t="s">
        <v>592</v>
      </c>
      <c r="AJ226" s="1336"/>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6" t="s">
        <v>592</v>
      </c>
      <c r="AJ227" s="1336"/>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6" t="s">
        <v>546</v>
      </c>
      <c r="AJ228" s="1336"/>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6" t="s">
        <v>592</v>
      </c>
      <c r="AJ229" s="1336"/>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804" t="str">
        <f>H16</f>
        <v xml:space="preserve">Century Affordable Development, Inc. </v>
      </c>
      <c r="N232" s="1804"/>
      <c r="O232" s="1804"/>
      <c r="P232" s="1804"/>
      <c r="Q232" s="1804"/>
      <c r="R232" s="1804"/>
      <c r="S232" s="1804"/>
      <c r="T232" s="1804"/>
      <c r="U232" s="1804"/>
      <c r="V232" s="1804"/>
      <c r="W232" s="1804"/>
      <c r="X232" s="1804"/>
      <c r="Y232" s="1804"/>
      <c r="Z232" s="1804"/>
      <c r="AA232" s="1804"/>
      <c r="AB232" s="1804"/>
      <c r="AC232" s="1804"/>
      <c r="AD232" s="1804"/>
      <c r="AE232" s="1804"/>
      <c r="AF232" s="1804"/>
      <c r="AG232" s="1804"/>
      <c r="AH232" s="1804"/>
      <c r="AI232" s="1804"/>
      <c r="AJ232" s="1804"/>
      <c r="AK232" s="1804"/>
      <c r="AZ232" s="4"/>
      <c r="BA232" s="3"/>
      <c r="BB232" s="205" t="s">
        <v>539</v>
      </c>
      <c r="BG232" s="241">
        <f>IF(AND(AND($M$249="nonprofit",$M$257="nonprofit",$M$265="for profit")),2,0)</f>
        <v>0</v>
      </c>
    </row>
    <row r="233" spans="1:59" ht="12.95" customHeight="1">
      <c r="D233" s="4" t="s">
        <v>85</v>
      </c>
      <c r="E233" s="4"/>
      <c r="F233" s="4"/>
      <c r="G233" s="4"/>
      <c r="H233" s="4"/>
      <c r="I233" s="4"/>
      <c r="J233" s="4"/>
      <c r="K233" s="4"/>
      <c r="M233" s="1421" t="s">
        <v>2624</v>
      </c>
      <c r="N233" s="1422"/>
      <c r="O233" s="1422"/>
      <c r="P233" s="1422"/>
      <c r="Q233" s="1422"/>
      <c r="R233" s="1422"/>
      <c r="S233" s="1422"/>
      <c r="T233" s="1422"/>
      <c r="U233" s="1422"/>
      <c r="V233" s="1422"/>
      <c r="W233" s="1422"/>
      <c r="X233" s="1422"/>
      <c r="Y233" s="1422"/>
      <c r="Z233" s="1422"/>
      <c r="AA233" s="1422"/>
      <c r="AB233" s="1422"/>
      <c r="AC233" s="1422"/>
      <c r="AD233" s="1422"/>
      <c r="AE233" s="1422"/>
      <c r="BB233" s="205" t="s">
        <v>539</v>
      </c>
      <c r="BG233" s="241">
        <f>IF(AND(AND($M$249="nonprofit",$M$257="for profit",$M$265="nonprofit")),2,0)</f>
        <v>0</v>
      </c>
    </row>
    <row r="234" spans="1:59" ht="12.95" customHeight="1">
      <c r="D234" s="4" t="s">
        <v>581</v>
      </c>
      <c r="E234" s="4"/>
      <c r="M234" s="1421" t="s">
        <v>2625</v>
      </c>
      <c r="N234" s="1422"/>
      <c r="O234" s="1422"/>
      <c r="P234" s="1422"/>
      <c r="Q234" s="1422"/>
      <c r="R234" s="1422"/>
      <c r="S234" s="1422"/>
      <c r="T234" s="1422"/>
      <c r="V234" s="33" t="s">
        <v>86</v>
      </c>
      <c r="W234" s="1473" t="s">
        <v>2626</v>
      </c>
      <c r="X234" s="1441"/>
      <c r="Y234" s="4" t="s">
        <v>584</v>
      </c>
      <c r="AC234" s="1422">
        <v>90230</v>
      </c>
      <c r="AD234" s="1422"/>
      <c r="AE234" s="1422"/>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21" t="s">
        <v>2627</v>
      </c>
      <c r="N235" s="1422"/>
      <c r="O235" s="1422"/>
      <c r="P235" s="1422"/>
      <c r="Q235" s="1422"/>
      <c r="R235" s="1422"/>
      <c r="S235" s="1422"/>
      <c r="T235" s="1422"/>
      <c r="U235" s="1422"/>
      <c r="V235" s="1422"/>
      <c r="W235" s="1422"/>
      <c r="X235" s="1422"/>
      <c r="Y235" s="1422"/>
      <c r="Z235" s="1422"/>
      <c r="AA235" s="1422"/>
      <c r="AB235" s="1422"/>
      <c r="AC235" s="1422"/>
      <c r="AD235" s="1422"/>
      <c r="AE235" s="1422"/>
      <c r="AI235" s="4"/>
      <c r="AJ235" s="4"/>
      <c r="AK235" s="4"/>
      <c r="AL235" s="4"/>
      <c r="AM235" s="4"/>
      <c r="AN235" s="4"/>
      <c r="AO235" s="4"/>
      <c r="AP235" s="4"/>
      <c r="AQ235" s="4"/>
      <c r="AR235" s="4"/>
      <c r="AS235" s="4"/>
      <c r="AT235" s="4"/>
      <c r="BB235" s="205"/>
      <c r="BG235" s="204"/>
    </row>
    <row r="236" spans="1:59" ht="12.95" customHeight="1">
      <c r="D236" s="4" t="s">
        <v>88</v>
      </c>
      <c r="E236" s="4"/>
      <c r="F236" s="4"/>
      <c r="M236" s="1347" t="s">
        <v>2628</v>
      </c>
      <c r="N236" s="1348"/>
      <c r="O236" s="1348"/>
      <c r="P236" s="1348"/>
      <c r="Q236" s="1348"/>
      <c r="R236" s="1348"/>
      <c r="S236" s="4" t="s">
        <v>206</v>
      </c>
      <c r="T236" s="4"/>
      <c r="U236" s="1441"/>
      <c r="V236" s="1441"/>
      <c r="W236" s="1441"/>
      <c r="X236" s="4" t="s">
        <v>89</v>
      </c>
      <c r="Z236" s="1348"/>
      <c r="AA236" s="1348"/>
      <c r="AB236" s="1348"/>
      <c r="AC236" s="1348"/>
      <c r="AD236" s="1348"/>
      <c r="AE236" s="1348"/>
      <c r="AU236" s="4"/>
      <c r="AV236" s="4"/>
      <c r="AW236" s="4"/>
      <c r="AX236" s="4"/>
      <c r="AY236" s="4"/>
      <c r="AZ236" s="4"/>
      <c r="BB236" s="204" t="s">
        <v>538</v>
      </c>
      <c r="BG236" s="241">
        <f>IF(AND(AND($M$249="nonprofit",$M$257="nonprofit",$M$265="(select one)")),1,0)</f>
        <v>0</v>
      </c>
    </row>
    <row r="237" spans="1:59" ht="12.95" customHeight="1">
      <c r="D237" s="4" t="s">
        <v>90</v>
      </c>
      <c r="E237" s="4"/>
      <c r="F237" s="4"/>
      <c r="M237" s="1797" t="s">
        <v>2629</v>
      </c>
      <c r="N237" s="1797"/>
      <c r="O237" s="1797"/>
      <c r="P237" s="1797"/>
      <c r="Q237" s="1797"/>
      <c r="R237" s="1797"/>
      <c r="S237" s="1797"/>
      <c r="T237" s="1797"/>
      <c r="U237" s="1797"/>
      <c r="V237" s="1797"/>
      <c r="W237" s="1797"/>
      <c r="X237" s="1797"/>
      <c r="Y237" s="1797"/>
      <c r="Z237" s="1797"/>
      <c r="AA237" s="1797"/>
      <c r="AB237" s="1797"/>
      <c r="AC237" s="1797"/>
      <c r="AD237" s="1797"/>
      <c r="AE237" s="1797"/>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473" t="s">
        <v>377</v>
      </c>
      <c r="N238" s="1353"/>
      <c r="O238" s="1353"/>
      <c r="P238" s="1353"/>
      <c r="Q238" s="1353"/>
      <c r="R238" s="1353"/>
      <c r="S238" s="1353"/>
      <c r="T238" s="1353"/>
      <c r="U238" s="204" t="s">
        <v>907</v>
      </c>
      <c r="V238" s="204"/>
      <c r="W238" s="204"/>
      <c r="X238" s="204"/>
      <c r="Y238" s="204"/>
      <c r="Z238" s="204"/>
      <c r="AA238" s="1788"/>
      <c r="AB238" s="1788"/>
      <c r="AC238" s="1788"/>
      <c r="AD238" s="1788"/>
      <c r="AE238" s="1788"/>
      <c r="AF238" s="1788"/>
      <c r="AG238" s="1788"/>
      <c r="AH238" s="1788"/>
      <c r="AI238" s="1788"/>
      <c r="AJ238" s="1788"/>
      <c r="AK238" s="1788"/>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76"/>
      <c r="N239" s="1376"/>
      <c r="O239" s="1376"/>
      <c r="P239" s="1376"/>
      <c r="Q239" s="1376"/>
      <c r="R239" s="1376"/>
      <c r="S239" s="1376"/>
      <c r="T239" s="1376"/>
      <c r="U239" s="1376"/>
      <c r="V239" s="1376"/>
      <c r="W239" s="1376"/>
      <c r="X239" s="1376"/>
      <c r="Y239" s="1376"/>
      <c r="Z239" s="1376"/>
      <c r="AA239" s="1376"/>
      <c r="AB239" s="1376"/>
      <c r="AC239" s="1376"/>
      <c r="AD239" s="1376"/>
      <c r="AE239" s="1376"/>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4" t="s">
        <v>2636</v>
      </c>
      <c r="N243" s="1425"/>
      <c r="O243" s="1425"/>
      <c r="P243" s="1425"/>
      <c r="Q243" s="1425"/>
      <c r="R243" s="1425"/>
      <c r="S243" s="1425"/>
      <c r="T243" s="1425"/>
      <c r="U243" s="1425"/>
      <c r="V243" s="1425"/>
      <c r="W243" s="1425"/>
      <c r="X243" s="1425"/>
      <c r="Y243" s="1425"/>
      <c r="Z243" s="1425"/>
      <c r="AA243" s="1425"/>
      <c r="AB243" s="1425"/>
      <c r="AC243" s="1425"/>
      <c r="AD243" s="1425"/>
      <c r="AE243" s="1425"/>
      <c r="AF243" s="1425" t="s">
        <v>2637</v>
      </c>
      <c r="AG243" s="1425"/>
      <c r="AH243" s="1425"/>
      <c r="AI243" s="1425"/>
      <c r="AJ243" s="1425"/>
      <c r="AK243" s="1425"/>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21" t="s">
        <v>2638</v>
      </c>
      <c r="N244" s="1422"/>
      <c r="O244" s="1422"/>
      <c r="P244" s="1422"/>
      <c r="Q244" s="1422"/>
      <c r="R244" s="1422"/>
      <c r="S244" s="1422"/>
      <c r="T244" s="1422"/>
      <c r="U244" s="1422"/>
      <c r="V244" s="1422"/>
      <c r="W244" s="1422"/>
      <c r="X244" s="1422"/>
      <c r="Y244" s="1422"/>
      <c r="Z244" s="1422"/>
      <c r="AA244" s="1422"/>
      <c r="AB244" s="1422"/>
      <c r="AC244" s="1422"/>
      <c r="AD244" s="1422"/>
      <c r="AE244" s="1422"/>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21" t="s">
        <v>2625</v>
      </c>
      <c r="N245" s="1422"/>
      <c r="O245" s="1422"/>
      <c r="P245" s="1422"/>
      <c r="Q245" s="1422"/>
      <c r="R245" s="1422"/>
      <c r="S245" s="1422"/>
      <c r="T245" s="1422"/>
      <c r="V245" s="33" t="s">
        <v>86</v>
      </c>
      <c r="W245" s="1473" t="s">
        <v>2626</v>
      </c>
      <c r="X245" s="1441"/>
      <c r="Y245" s="4" t="s">
        <v>584</v>
      </c>
      <c r="AC245" s="1422">
        <v>90230</v>
      </c>
      <c r="AD245" s="1422"/>
      <c r="AE245" s="1422"/>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21" t="s">
        <v>2627</v>
      </c>
      <c r="N246" s="1422"/>
      <c r="O246" s="1422"/>
      <c r="P246" s="1422"/>
      <c r="Q246" s="1422"/>
      <c r="R246" s="1422"/>
      <c r="S246" s="1422"/>
      <c r="T246" s="1422"/>
      <c r="U246" s="1422"/>
      <c r="V246" s="1422"/>
      <c r="W246" s="1422"/>
      <c r="X246" s="1422"/>
      <c r="Y246" s="1422"/>
      <c r="Z246" s="1422"/>
      <c r="AA246" s="1422"/>
      <c r="AB246" s="1422"/>
      <c r="AC246" s="1422"/>
      <c r="AD246" s="1422"/>
      <c r="AE246" s="1422"/>
      <c r="AH246" s="1791"/>
      <c r="AI246" s="1791"/>
      <c r="AJ246" s="1791"/>
      <c r="AK246" s="1791"/>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7" t="s">
        <v>2628</v>
      </c>
      <c r="N247" s="1348"/>
      <c r="O247" s="1348"/>
      <c r="P247" s="1348"/>
      <c r="Q247" s="1348"/>
      <c r="R247" s="1348"/>
      <c r="S247" s="4" t="s">
        <v>206</v>
      </c>
      <c r="T247" s="4"/>
      <c r="U247" s="1441"/>
      <c r="V247" s="1441"/>
      <c r="W247" s="1441"/>
      <c r="X247" s="4" t="s">
        <v>89</v>
      </c>
      <c r="Z247" s="1348"/>
      <c r="AA247" s="1348"/>
      <c r="AB247" s="1348"/>
      <c r="AC247" s="1348"/>
      <c r="AD247" s="1348"/>
      <c r="AE247" s="1348"/>
      <c r="AU247" s="4"/>
      <c r="AV247" s="4"/>
      <c r="AW247" s="4"/>
      <c r="AX247" s="4"/>
      <c r="AY247" s="4"/>
      <c r="BG247">
        <v>0</v>
      </c>
      <c r="BH247" s="3" t="str">
        <f>""</f>
        <v/>
      </c>
      <c r="BN247" s="34"/>
    </row>
    <row r="248" spans="1:67" ht="12.95" customHeight="1">
      <c r="A248" s="19"/>
      <c r="B248" s="4"/>
      <c r="C248" s="4"/>
      <c r="D248" s="4" t="s">
        <v>90</v>
      </c>
      <c r="E248" s="4"/>
      <c r="F248" s="4"/>
      <c r="M248" s="1797" t="s">
        <v>2629</v>
      </c>
      <c r="N248" s="1797"/>
      <c r="O248" s="1797"/>
      <c r="P248" s="1797"/>
      <c r="Q248" s="1797"/>
      <c r="R248" s="1797"/>
      <c r="S248" s="1797"/>
      <c r="T248" s="1797"/>
      <c r="U248" s="1797"/>
      <c r="V248" s="1797"/>
      <c r="W248" s="1797"/>
      <c r="X248" s="1797"/>
      <c r="Y248" s="1797"/>
      <c r="Z248" s="1797"/>
      <c r="AA248" s="1797"/>
      <c r="AB248" s="1797"/>
      <c r="AC248" s="1797"/>
      <c r="AD248" s="1797"/>
      <c r="AE248" s="1797"/>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53" t="s">
        <v>535</v>
      </c>
      <c r="N249" s="1353"/>
      <c r="O249" s="1353"/>
      <c r="P249" s="1353"/>
      <c r="Q249" s="1353"/>
      <c r="R249" s="1353"/>
      <c r="S249" s="1353"/>
      <c r="T249" s="1353"/>
      <c r="U249" s="204" t="s">
        <v>907</v>
      </c>
      <c r="V249" s="204"/>
      <c r="W249" s="204"/>
      <c r="X249" s="204"/>
      <c r="Y249" s="204"/>
      <c r="Z249" s="204"/>
      <c r="AA249" s="1818" t="s">
        <v>2630</v>
      </c>
      <c r="AB249" s="1788"/>
      <c r="AC249" s="1788"/>
      <c r="AD249" s="1788"/>
      <c r="AE249" s="1788"/>
      <c r="AF249" s="1788"/>
      <c r="AG249" s="1788"/>
      <c r="AH249" s="1788"/>
      <c r="AI249" s="1788"/>
      <c r="AJ249" s="1788"/>
      <c r="AK249" s="178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4" t="s">
        <v>592</v>
      </c>
      <c r="N251" s="1425"/>
      <c r="O251" s="1425"/>
      <c r="P251" s="1425"/>
      <c r="Q251" s="1425"/>
      <c r="R251" s="1425"/>
      <c r="S251" s="1425"/>
      <c r="T251" s="1425"/>
      <c r="U251" s="1425"/>
      <c r="V251" s="1425"/>
      <c r="W251" s="1425"/>
      <c r="X251" s="1425"/>
      <c r="Y251" s="1425"/>
      <c r="Z251" s="1425"/>
      <c r="AA251" s="1425"/>
      <c r="AB251" s="1425"/>
      <c r="AC251" s="1425"/>
      <c r="AD251" s="1425"/>
      <c r="AE251" s="1425"/>
      <c r="AF251" s="1425" t="s">
        <v>307</v>
      </c>
      <c r="AG251" s="1425"/>
      <c r="AH251" s="1425"/>
      <c r="AI251" s="1425"/>
      <c r="AJ251" s="1425"/>
      <c r="AK251" s="1425"/>
      <c r="AU251" s="4"/>
      <c r="AV251" s="4"/>
      <c r="AW251" s="4"/>
      <c r="AX251" s="4"/>
      <c r="AY251" s="4"/>
      <c r="BN251" s="34"/>
    </row>
    <row r="252" spans="1:67" ht="12.95" customHeight="1">
      <c r="A252" s="19"/>
      <c r="B252" s="4"/>
      <c r="C252" s="4"/>
      <c r="D252" s="4" t="s">
        <v>85</v>
      </c>
      <c r="E252" s="4"/>
      <c r="F252" s="4"/>
      <c r="G252" s="4"/>
      <c r="H252" s="4"/>
      <c r="I252" s="4"/>
      <c r="J252" s="4"/>
      <c r="K252" s="4"/>
      <c r="L252" s="4"/>
      <c r="M252" s="1422"/>
      <c r="N252" s="1422"/>
      <c r="O252" s="1422"/>
      <c r="P252" s="1422"/>
      <c r="Q252" s="1422"/>
      <c r="R252" s="1422"/>
      <c r="S252" s="1422"/>
      <c r="T252" s="1422"/>
      <c r="U252" s="1422"/>
      <c r="V252" s="1422"/>
      <c r="W252" s="1422"/>
      <c r="X252" s="1422"/>
      <c r="Y252" s="1422"/>
      <c r="Z252" s="1422"/>
      <c r="AA252" s="1422"/>
      <c r="AB252" s="1422"/>
      <c r="AC252" s="1422"/>
      <c r="AD252" s="1422"/>
      <c r="AE252" s="1422"/>
      <c r="AF252" s="3" t="s">
        <v>1180</v>
      </c>
      <c r="AL252" s="4"/>
      <c r="AM252" s="4"/>
      <c r="AN252" s="4"/>
      <c r="AO252" s="4"/>
      <c r="AP252" s="4"/>
      <c r="AQ252" s="4"/>
      <c r="AR252" s="4"/>
      <c r="AS252" s="4"/>
      <c r="AT252" s="4"/>
      <c r="BN252" s="34"/>
    </row>
    <row r="253" spans="1:67" ht="12.95" customHeight="1">
      <c r="A253" s="19"/>
      <c r="B253" s="4"/>
      <c r="C253" s="4"/>
      <c r="D253" s="4" t="s">
        <v>581</v>
      </c>
      <c r="E253" s="4"/>
      <c r="M253" s="1422"/>
      <c r="N253" s="1422"/>
      <c r="O253" s="1422"/>
      <c r="P253" s="1422"/>
      <c r="Q253" s="1422"/>
      <c r="R253" s="1422"/>
      <c r="S253" s="1422"/>
      <c r="T253" s="1422"/>
      <c r="V253" s="33" t="s">
        <v>86</v>
      </c>
      <c r="W253" s="1441"/>
      <c r="X253" s="1441"/>
      <c r="Y253" s="4" t="s">
        <v>584</v>
      </c>
      <c r="AC253" s="1422"/>
      <c r="AD253" s="1422"/>
      <c r="AE253" s="1422"/>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22"/>
      <c r="N254" s="1422"/>
      <c r="O254" s="1422"/>
      <c r="P254" s="1422"/>
      <c r="Q254" s="1422"/>
      <c r="R254" s="1422"/>
      <c r="S254" s="1422"/>
      <c r="T254" s="1422"/>
      <c r="U254" s="1422"/>
      <c r="V254" s="1422"/>
      <c r="W254" s="1422"/>
      <c r="X254" s="1422"/>
      <c r="Y254" s="1422"/>
      <c r="Z254" s="1422"/>
      <c r="AA254" s="1422"/>
      <c r="AB254" s="1422"/>
      <c r="AC254" s="1422"/>
      <c r="AD254" s="1422"/>
      <c r="AE254" s="1422"/>
      <c r="AH254" s="1791"/>
      <c r="AI254" s="1791"/>
      <c r="AJ254" s="1791"/>
      <c r="AK254" s="1791"/>
      <c r="AL254" s="4"/>
      <c r="AM254" s="4"/>
      <c r="AN254" s="4"/>
      <c r="AO254" s="4"/>
      <c r="AP254" s="4"/>
      <c r="AQ254" s="4"/>
      <c r="AR254" s="4"/>
      <c r="AS254" s="4"/>
      <c r="AT254" s="4"/>
    </row>
    <row r="255" spans="1:67" ht="12.95" customHeight="1">
      <c r="A255" s="19"/>
      <c r="B255" s="4"/>
      <c r="C255" s="4"/>
      <c r="D255" s="4" t="s">
        <v>88</v>
      </c>
      <c r="E255" s="4"/>
      <c r="F255" s="4"/>
      <c r="M255" s="1348"/>
      <c r="N255" s="1348"/>
      <c r="O255" s="1348"/>
      <c r="P255" s="1348"/>
      <c r="Q255" s="1348"/>
      <c r="R255" s="1348"/>
      <c r="S255" s="4" t="s">
        <v>206</v>
      </c>
      <c r="T255" s="4"/>
      <c r="U255" s="1441"/>
      <c r="V255" s="1441"/>
      <c r="W255" s="1441"/>
      <c r="X255" s="4" t="s">
        <v>89</v>
      </c>
      <c r="Z255" s="1348"/>
      <c r="AA255" s="1348"/>
      <c r="AB255" s="1348"/>
      <c r="AC255" s="1348"/>
      <c r="AD255" s="1348"/>
      <c r="AE255" s="1348"/>
      <c r="AU255" s="4"/>
      <c r="AV255" s="4"/>
      <c r="AW255" s="4"/>
      <c r="AX255" s="4"/>
      <c r="AY255" s="4"/>
      <c r="BN255" s="34"/>
    </row>
    <row r="256" spans="1:67" ht="12.95" customHeight="1">
      <c r="A256" s="19"/>
      <c r="B256" s="4"/>
      <c r="C256" s="4"/>
      <c r="D256" s="4" t="s">
        <v>90</v>
      </c>
      <c r="E256" s="4"/>
      <c r="F256" s="4"/>
      <c r="M256" s="1797"/>
      <c r="N256" s="1797"/>
      <c r="O256" s="1797"/>
      <c r="P256" s="1797"/>
      <c r="Q256" s="1797"/>
      <c r="R256" s="1797"/>
      <c r="S256" s="1797"/>
      <c r="T256" s="1797"/>
      <c r="U256" s="1797"/>
      <c r="V256" s="1797"/>
      <c r="W256" s="1797"/>
      <c r="X256" s="1797"/>
      <c r="Y256" s="1797"/>
      <c r="Z256" s="1797"/>
      <c r="AA256" s="1797"/>
      <c r="AB256" s="1797"/>
      <c r="AC256" s="1797"/>
      <c r="AD256" s="1797"/>
      <c r="AE256" s="179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53" t="s">
        <v>307</v>
      </c>
      <c r="N257" s="1353"/>
      <c r="O257" s="1353"/>
      <c r="P257" s="1353"/>
      <c r="Q257" s="1353"/>
      <c r="R257" s="1353"/>
      <c r="S257" s="1353"/>
      <c r="T257" s="1353"/>
      <c r="U257" s="204" t="s">
        <v>907</v>
      </c>
      <c r="V257" s="204"/>
      <c r="W257" s="204"/>
      <c r="X257" s="204"/>
      <c r="Y257" s="204"/>
      <c r="Z257" s="204"/>
      <c r="AA257" s="1788"/>
      <c r="AB257" s="1788"/>
      <c r="AC257" s="1788"/>
      <c r="AD257" s="1788"/>
      <c r="AE257" s="1788"/>
      <c r="AF257" s="1788"/>
      <c r="AG257" s="1788"/>
      <c r="AH257" s="1788"/>
      <c r="AI257" s="1788"/>
      <c r="AJ257" s="1788"/>
      <c r="AK257" s="178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4" t="s">
        <v>592</v>
      </c>
      <c r="N259" s="1425"/>
      <c r="O259" s="1425"/>
      <c r="P259" s="1425"/>
      <c r="Q259" s="1425"/>
      <c r="R259" s="1425"/>
      <c r="S259" s="1425"/>
      <c r="T259" s="1425"/>
      <c r="U259" s="1425"/>
      <c r="V259" s="1425"/>
      <c r="W259" s="1425"/>
      <c r="X259" s="1425"/>
      <c r="Y259" s="1425"/>
      <c r="Z259" s="1425"/>
      <c r="AA259" s="1425"/>
      <c r="AB259" s="1425"/>
      <c r="AC259" s="1425"/>
      <c r="AD259" s="1425"/>
      <c r="AE259" s="1425"/>
      <c r="AF259" s="1425" t="s">
        <v>307</v>
      </c>
      <c r="AG259" s="1425"/>
      <c r="AH259" s="1425"/>
      <c r="AI259" s="1425"/>
      <c r="AJ259" s="1425"/>
      <c r="AK259" s="1425"/>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22"/>
      <c r="N260" s="1422"/>
      <c r="O260" s="1422"/>
      <c r="P260" s="1422"/>
      <c r="Q260" s="1422"/>
      <c r="R260" s="1422"/>
      <c r="S260" s="1422"/>
      <c r="T260" s="1422"/>
      <c r="U260" s="1422"/>
      <c r="V260" s="1422"/>
      <c r="W260" s="1422"/>
      <c r="X260" s="1422"/>
      <c r="Y260" s="1422"/>
      <c r="Z260" s="1422"/>
      <c r="AA260" s="1422"/>
      <c r="AB260" s="1422"/>
      <c r="AC260" s="1422"/>
      <c r="AD260" s="1422"/>
      <c r="AE260" s="1422"/>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22"/>
      <c r="N261" s="1422"/>
      <c r="O261" s="1422"/>
      <c r="P261" s="1422"/>
      <c r="Q261" s="1422"/>
      <c r="R261" s="1422"/>
      <c r="S261" s="1422"/>
      <c r="T261" s="1422"/>
      <c r="V261" s="33" t="s">
        <v>86</v>
      </c>
      <c r="W261" s="1441"/>
      <c r="X261" s="1441"/>
      <c r="Y261" s="4" t="s">
        <v>584</v>
      </c>
      <c r="AC261" s="1422"/>
      <c r="AD261" s="1422"/>
      <c r="AE261" s="1422"/>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22"/>
      <c r="N262" s="1422"/>
      <c r="O262" s="1422"/>
      <c r="P262" s="1422"/>
      <c r="Q262" s="1422"/>
      <c r="R262" s="1422"/>
      <c r="S262" s="1422"/>
      <c r="T262" s="1422"/>
      <c r="U262" s="1422"/>
      <c r="V262" s="1422"/>
      <c r="W262" s="1422"/>
      <c r="X262" s="1422"/>
      <c r="Y262" s="1422"/>
      <c r="Z262" s="1422"/>
      <c r="AA262" s="1422"/>
      <c r="AB262" s="1422"/>
      <c r="AC262" s="1422"/>
      <c r="AD262" s="1422"/>
      <c r="AE262" s="1422"/>
      <c r="AH262" s="1791"/>
      <c r="AI262" s="1791"/>
      <c r="AJ262" s="1791"/>
      <c r="AK262" s="1791"/>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8"/>
      <c r="N263" s="1348"/>
      <c r="O263" s="1348"/>
      <c r="P263" s="1348"/>
      <c r="Q263" s="1348"/>
      <c r="R263" s="1348"/>
      <c r="S263" s="4" t="s">
        <v>206</v>
      </c>
      <c r="T263" s="4"/>
      <c r="U263" s="1441"/>
      <c r="V263" s="1441"/>
      <c r="W263" s="1441"/>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7"/>
      <c r="N264" s="1797"/>
      <c r="O264" s="1797"/>
      <c r="P264" s="1797"/>
      <c r="Q264" s="1797"/>
      <c r="R264" s="1797"/>
      <c r="S264" s="1797"/>
      <c r="T264" s="1797"/>
      <c r="U264" s="1797"/>
      <c r="V264" s="1797"/>
      <c r="W264" s="1797"/>
      <c r="X264" s="1797"/>
      <c r="Y264" s="1797"/>
      <c r="Z264" s="1797"/>
      <c r="AA264" s="1817"/>
      <c r="AB264" s="1817"/>
      <c r="AC264" s="1817"/>
      <c r="AD264" s="1817"/>
      <c r="AE264" s="181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53" t="s">
        <v>307</v>
      </c>
      <c r="N265" s="1353"/>
      <c r="O265" s="1353"/>
      <c r="P265" s="1353"/>
      <c r="Q265" s="1353"/>
      <c r="R265" s="1353"/>
      <c r="S265" s="1353"/>
      <c r="T265" s="1353"/>
      <c r="U265" s="204" t="s">
        <v>907</v>
      </c>
      <c r="V265" s="204"/>
      <c r="W265" s="204"/>
      <c r="X265" s="204"/>
      <c r="Y265" s="204"/>
      <c r="Z265" s="204"/>
      <c r="AA265" s="1789"/>
      <c r="AB265" s="1789"/>
      <c r="AC265" s="1789"/>
      <c r="AD265" s="1789"/>
      <c r="AE265" s="1789"/>
      <c r="AF265" s="1789"/>
      <c r="AG265" s="1789"/>
      <c r="AH265" s="1789"/>
      <c r="AI265" s="1789"/>
      <c r="AJ265" s="1789"/>
      <c r="AK265" s="178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819" t="str">
        <f>IFERROR(BO245,"")</f>
        <v>Nonprofit</v>
      </c>
      <c r="U267" s="1819"/>
      <c r="V267" s="1819"/>
      <c r="W267" s="1819"/>
      <c r="X267" s="1819"/>
      <c r="Z267" s="306" t="s">
        <v>955</v>
      </c>
      <c r="AA267" s="307"/>
      <c r="AB267" s="307"/>
      <c r="AC267" s="307"/>
      <c r="AD267" s="105"/>
      <c r="AE267" s="105"/>
      <c r="AF267" s="105"/>
      <c r="AG267" s="105"/>
      <c r="AH267" s="105"/>
      <c r="AI267" s="105"/>
      <c r="AJ267" s="105"/>
      <c r="AK267" s="308"/>
      <c r="AL267" s="58"/>
    </row>
    <row r="268" spans="1:51" ht="12.95" customHeight="1">
      <c r="A268" s="2"/>
      <c r="B268" s="4"/>
      <c r="C268" s="2"/>
      <c r="I268" s="4"/>
      <c r="J268" s="4"/>
      <c r="K268" s="4"/>
      <c r="L268" s="4"/>
      <c r="M268" s="35"/>
      <c r="N268" s="35"/>
      <c r="O268" s="35"/>
      <c r="P268" s="35"/>
      <c r="Q268" s="35"/>
      <c r="T268" s="4"/>
      <c r="U268" s="4"/>
      <c r="V268" s="4"/>
      <c r="W268" s="35"/>
      <c r="Z268" s="309"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0" t="s">
        <v>954</v>
      </c>
      <c r="AA269" s="48"/>
      <c r="AB269" s="48"/>
      <c r="AC269" s="48"/>
      <c r="AD269" s="48"/>
      <c r="AE269" s="48"/>
      <c r="AF269" s="104"/>
      <c r="AG269" s="104"/>
      <c r="AH269" s="104"/>
      <c r="AI269" s="104"/>
      <c r="AJ269" s="104"/>
      <c r="AK269" s="48"/>
      <c r="AL269" s="49"/>
    </row>
    <row r="270" spans="1:51" ht="12.95" customHeight="1">
      <c r="A270" s="4"/>
      <c r="B270" s="36">
        <v>0</v>
      </c>
      <c r="D270" s="1422" t="s">
        <v>173</v>
      </c>
      <c r="E270" s="1422"/>
      <c r="F270" s="1422"/>
      <c r="G270" s="1422"/>
      <c r="H270" s="1422"/>
      <c r="J270" t="s">
        <v>279</v>
      </c>
      <c r="X270" s="1706">
        <v>46022</v>
      </c>
      <c r="Y270" s="1706"/>
      <c r="Z270" s="1706"/>
      <c r="AA270" s="1706"/>
      <c r="AB270" s="1706"/>
      <c r="AC270" s="1706"/>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4" t="s">
        <v>2630</v>
      </c>
      <c r="M274" s="1425"/>
      <c r="N274" s="1425"/>
      <c r="O274" s="1425"/>
      <c r="P274" s="1425"/>
      <c r="Q274" s="1425"/>
      <c r="R274" s="1425"/>
      <c r="S274" s="1425"/>
      <c r="T274" s="1425"/>
      <c r="U274" s="1425"/>
      <c r="V274" s="1425"/>
      <c r="W274" s="1425"/>
      <c r="X274" s="1425"/>
      <c r="Y274" s="1425"/>
      <c r="Z274" s="1425"/>
      <c r="AA274" s="1425"/>
      <c r="AB274" s="1425"/>
      <c r="AC274" s="1425"/>
      <c r="AD274" s="1425"/>
      <c r="AE274" s="1425"/>
      <c r="AF274" s="1425"/>
      <c r="AG274" s="1425"/>
      <c r="AH274" s="1425"/>
      <c r="AI274" s="1425"/>
      <c r="AJ274" s="1425"/>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21" t="s">
        <v>2624</v>
      </c>
      <c r="M275" s="1422"/>
      <c r="N275" s="1422"/>
      <c r="O275" s="1422"/>
      <c r="P275" s="1422"/>
      <c r="Q275" s="1422"/>
      <c r="R275" s="1422"/>
      <c r="S275" s="1422"/>
      <c r="T275" s="1422"/>
      <c r="U275" s="1422"/>
      <c r="V275" s="1422"/>
      <c r="W275" s="1422"/>
      <c r="X275" s="1422"/>
      <c r="Y275" s="1422"/>
      <c r="Z275" s="1422"/>
      <c r="AA275" s="1422"/>
      <c r="AB275" s="1422"/>
      <c r="AC275" s="1422"/>
      <c r="AD275" s="1422"/>
      <c r="AK275" s="3"/>
      <c r="AL275" s="3"/>
      <c r="AM275" s="3"/>
      <c r="AN275" s="3"/>
      <c r="AO275" s="3"/>
      <c r="AP275" s="3"/>
      <c r="AQ275" s="3"/>
      <c r="AR275" s="3"/>
      <c r="AS275" s="3"/>
      <c r="AT275" s="3"/>
      <c r="AU275" s="3"/>
      <c r="AV275" s="3"/>
      <c r="AW275" s="3"/>
      <c r="AX275" s="3"/>
      <c r="AY275" s="3"/>
    </row>
    <row r="276" spans="1:51" ht="12.95" customHeight="1">
      <c r="D276" s="4" t="s">
        <v>581</v>
      </c>
      <c r="E276" s="4"/>
      <c r="L276" s="1421" t="s">
        <v>2631</v>
      </c>
      <c r="M276" s="1422"/>
      <c r="N276" s="1422"/>
      <c r="O276" s="1422"/>
      <c r="P276" s="1422"/>
      <c r="Q276" s="1422"/>
      <c r="R276" s="1422"/>
      <c r="S276" s="1422"/>
      <c r="U276" s="33" t="s">
        <v>86</v>
      </c>
      <c r="V276" s="1473" t="s">
        <v>2626</v>
      </c>
      <c r="W276" s="1441"/>
      <c r="X276" s="4" t="s">
        <v>584</v>
      </c>
      <c r="AB276" s="1422">
        <v>90230</v>
      </c>
      <c r="AC276" s="1422"/>
      <c r="AD276" s="1422"/>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21" t="s">
        <v>2632</v>
      </c>
      <c r="M277" s="1422"/>
      <c r="N277" s="1422"/>
      <c r="O277" s="1422"/>
      <c r="P277" s="1422"/>
      <c r="Q277" s="1422"/>
      <c r="R277" s="1422"/>
      <c r="S277" s="1422"/>
      <c r="T277" s="1422"/>
      <c r="U277" s="1422"/>
      <c r="V277" s="1422"/>
      <c r="W277" s="1422"/>
      <c r="X277" s="1422"/>
      <c r="Y277" s="1422"/>
      <c r="Z277" s="1422"/>
      <c r="AA277" s="1422"/>
      <c r="AB277" s="1422"/>
      <c r="AC277" s="1422"/>
      <c r="AD277" s="1422"/>
      <c r="AI277" s="4"/>
      <c r="AJ277" s="4"/>
      <c r="AK277" s="3"/>
      <c r="AL277" s="3"/>
      <c r="AM277" s="3"/>
      <c r="AN277" s="3"/>
      <c r="AO277" s="3"/>
      <c r="AP277" s="3"/>
      <c r="AQ277" s="3"/>
      <c r="AR277" s="3"/>
      <c r="AS277" s="3"/>
      <c r="AT277" s="3"/>
    </row>
    <row r="278" spans="1:51" ht="12.95" customHeight="1">
      <c r="D278" s="4" t="s">
        <v>88</v>
      </c>
      <c r="E278" s="4"/>
      <c r="F278" s="4"/>
      <c r="L278" s="1347" t="s">
        <v>2633</v>
      </c>
      <c r="M278" s="1348"/>
      <c r="N278" s="1348"/>
      <c r="O278" s="1348"/>
      <c r="P278" s="1348"/>
      <c r="Q278" s="1348"/>
      <c r="R278" s="4" t="s">
        <v>206</v>
      </c>
      <c r="S278" s="4"/>
      <c r="T278" s="1441"/>
      <c r="U278" s="1441"/>
      <c r="V278" s="1441"/>
      <c r="W278" s="4" t="s">
        <v>89</v>
      </c>
      <c r="Y278" s="1348"/>
      <c r="Z278" s="1348"/>
      <c r="AA278" s="1348"/>
      <c r="AB278" s="1348"/>
      <c r="AC278" s="1348"/>
      <c r="AD278" s="1348"/>
    </row>
    <row r="279" spans="1:51" ht="12.95" customHeight="1">
      <c r="D279" s="4" t="s">
        <v>90</v>
      </c>
      <c r="E279" s="4"/>
      <c r="F279" s="4"/>
      <c r="L279" s="1797" t="s">
        <v>2634</v>
      </c>
      <c r="M279" s="1797"/>
      <c r="N279" s="1797"/>
      <c r="O279" s="1797"/>
      <c r="P279" s="1797"/>
      <c r="Q279" s="1797"/>
      <c r="R279" s="1797"/>
      <c r="S279" s="1797"/>
      <c r="T279" s="1797"/>
      <c r="U279" s="1797"/>
      <c r="V279" s="1797"/>
      <c r="W279" s="1797"/>
      <c r="X279" s="1797"/>
      <c r="Y279" s="1797"/>
      <c r="Z279" s="1797"/>
      <c r="AA279" s="1797"/>
      <c r="AB279" s="1797"/>
      <c r="AC279" s="1797"/>
      <c r="AD279" s="1797"/>
      <c r="AF279" s="4"/>
      <c r="AG279" s="4"/>
      <c r="AH279" s="4"/>
      <c r="AI279" s="4"/>
      <c r="AJ279" s="4"/>
      <c r="AU279" s="3"/>
      <c r="AV279" s="3"/>
      <c r="AW279" s="3"/>
      <c r="AX279" s="3"/>
      <c r="AY279" s="3"/>
    </row>
    <row r="280" spans="1:51" ht="12.95" customHeight="1">
      <c r="D280" s="3" t="s">
        <v>624</v>
      </c>
      <c r="E280" s="3"/>
      <c r="F280" s="3"/>
      <c r="G280" s="3"/>
      <c r="H280" s="3"/>
      <c r="I280" s="3"/>
      <c r="L280" s="1473" t="s">
        <v>2635</v>
      </c>
      <c r="M280" s="1473"/>
      <c r="N280" s="1473"/>
      <c r="O280" s="1473"/>
      <c r="P280" s="1473"/>
      <c r="Q280" s="1473"/>
      <c r="R280" s="1473"/>
      <c r="S280" s="1473"/>
      <c r="T280" s="1473"/>
      <c r="U280" s="1473"/>
      <c r="V280" s="1473"/>
      <c r="W280" s="1473"/>
      <c r="X280" s="1473"/>
      <c r="Y280" s="1473"/>
      <c r="Z280" s="1473"/>
      <c r="AA280" s="1473"/>
      <c r="AB280" s="1473"/>
      <c r="AC280" s="1473"/>
      <c r="AD280" s="1473"/>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7" t="s">
        <v>542</v>
      </c>
      <c r="B282" s="1427"/>
      <c r="C282" s="1427"/>
      <c r="D282" s="1427"/>
      <c r="E282" s="1427"/>
      <c r="F282" s="1427"/>
      <c r="G282" s="1427"/>
      <c r="H282" s="1427"/>
      <c r="I282" s="1427"/>
      <c r="J282" s="1427"/>
      <c r="K282" s="1427"/>
      <c r="L282" s="1427"/>
      <c r="M282" s="1427"/>
      <c r="N282" s="1427"/>
      <c r="O282" s="1427"/>
      <c r="P282" s="1427"/>
      <c r="Q282" s="1427"/>
      <c r="R282" s="1427"/>
      <c r="S282" s="1427"/>
      <c r="T282" s="1427"/>
      <c r="U282" s="1427"/>
      <c r="V282" s="1427"/>
      <c r="W282" s="1427"/>
      <c r="X282" s="1427"/>
      <c r="Y282" s="1427"/>
      <c r="Z282" s="1427"/>
      <c r="AA282" s="1427"/>
      <c r="AB282" s="1427"/>
      <c r="AC282" s="1427"/>
      <c r="AD282" s="1427"/>
      <c r="AE282" s="1427"/>
      <c r="AF282" s="1427"/>
      <c r="AG282" s="1427"/>
      <c r="AH282" s="1427"/>
      <c r="AI282" s="1427"/>
      <c r="AJ282" s="1427"/>
      <c r="AK282" s="1427"/>
      <c r="AL282" s="1427"/>
      <c r="AM282" s="1427"/>
      <c r="AN282" s="1427"/>
      <c r="AO282" s="1427"/>
      <c r="AP282" s="1427"/>
      <c r="AQ282" s="1427"/>
      <c r="AR282" s="1427"/>
      <c r="AS282" s="1427"/>
      <c r="AT282" s="1427"/>
      <c r="AU282" s="95"/>
      <c r="AV282" s="95"/>
      <c r="AW282" s="95"/>
      <c r="AX282" s="95"/>
      <c r="AY282" s="95"/>
    </row>
    <row r="283" spans="1:51" ht="12.95" customHeight="1">
      <c r="A283" s="1427"/>
      <c r="B283" s="1427"/>
      <c r="C283" s="1427"/>
      <c r="D283" s="1427"/>
      <c r="E283" s="1427"/>
      <c r="F283" s="1427"/>
      <c r="G283" s="1427"/>
      <c r="H283" s="1427"/>
      <c r="I283" s="1427"/>
      <c r="J283" s="1427"/>
      <c r="K283" s="1427"/>
      <c r="L283" s="1427"/>
      <c r="M283" s="1427"/>
      <c r="N283" s="1427"/>
      <c r="O283" s="1427"/>
      <c r="P283" s="1427"/>
      <c r="Q283" s="1427"/>
      <c r="R283" s="1427"/>
      <c r="S283" s="1427"/>
      <c r="T283" s="1427"/>
      <c r="U283" s="1427"/>
      <c r="V283" s="1427"/>
      <c r="W283" s="1427"/>
      <c r="X283" s="1427"/>
      <c r="Y283" s="1427"/>
      <c r="Z283" s="1427"/>
      <c r="AA283" s="1427"/>
      <c r="AB283" s="1427"/>
      <c r="AC283" s="1427"/>
      <c r="AD283" s="1427"/>
      <c r="AE283" s="1427"/>
      <c r="AF283" s="1427"/>
      <c r="AG283" s="1427"/>
      <c r="AH283" s="1427"/>
      <c r="AI283" s="1427"/>
      <c r="AJ283" s="1427"/>
      <c r="AK283" s="1427"/>
      <c r="AL283" s="1427"/>
      <c r="AM283" s="1427"/>
      <c r="AN283" s="1427"/>
      <c r="AO283" s="1427"/>
      <c r="AP283" s="1427"/>
      <c r="AQ283" s="1427"/>
      <c r="AR283" s="1427"/>
      <c r="AS283" s="1427"/>
      <c r="AT283" s="1427"/>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21" t="s">
        <v>2613</v>
      </c>
      <c r="I287" s="1376"/>
      <c r="J287" s="1376"/>
      <c r="K287" s="1376"/>
      <c r="L287" s="1376"/>
      <c r="M287" s="1376"/>
      <c r="N287" s="1376"/>
      <c r="O287" s="1376"/>
      <c r="P287" s="1376"/>
      <c r="Q287" s="1376"/>
      <c r="R287" s="1376"/>
      <c r="T287" s="3" t="s">
        <v>568</v>
      </c>
      <c r="V287" s="3"/>
      <c r="W287" s="3"/>
      <c r="X287" s="3"/>
      <c r="Y287" s="3"/>
      <c r="AA287" s="1421" t="s">
        <v>2640</v>
      </c>
      <c r="AB287" s="1376"/>
      <c r="AC287" s="1376"/>
      <c r="AD287" s="1376"/>
      <c r="AE287" s="1376"/>
      <c r="AF287" s="1376"/>
      <c r="AG287" s="1376"/>
      <c r="AH287" s="1376"/>
      <c r="AI287" s="1376"/>
      <c r="AJ287" s="1376"/>
      <c r="AK287" s="1376"/>
    </row>
    <row r="288" spans="1:51" ht="12.95" customHeight="1">
      <c r="B288" s="3" t="s">
        <v>472</v>
      </c>
      <c r="C288" s="3"/>
      <c r="D288" s="3"/>
      <c r="E288" s="3"/>
      <c r="F288" s="3"/>
      <c r="H288" s="1473" t="s">
        <v>2624</v>
      </c>
      <c r="I288" s="1353"/>
      <c r="J288" s="1353"/>
      <c r="K288" s="1353"/>
      <c r="L288" s="1353"/>
      <c r="M288" s="1353"/>
      <c r="N288" s="1353"/>
      <c r="O288" s="1353"/>
      <c r="P288" s="1353"/>
      <c r="Q288" s="1353"/>
      <c r="R288" s="1353"/>
      <c r="T288" s="3" t="s">
        <v>472</v>
      </c>
      <c r="V288" s="3"/>
      <c r="W288" s="3"/>
      <c r="X288" s="3"/>
      <c r="Y288" s="3"/>
      <c r="AA288" s="1473" t="s">
        <v>2641</v>
      </c>
      <c r="AB288" s="1353"/>
      <c r="AC288" s="1353"/>
      <c r="AD288" s="1353"/>
      <c r="AE288" s="1353"/>
      <c r="AF288" s="1353"/>
      <c r="AG288" s="1353"/>
      <c r="AH288" s="1353"/>
      <c r="AI288" s="1353"/>
      <c r="AJ288" s="1353"/>
      <c r="AK288" s="1353"/>
    </row>
    <row r="289" spans="2:37" ht="12.95" customHeight="1">
      <c r="B289" s="3" t="s">
        <v>473</v>
      </c>
      <c r="C289" s="3"/>
      <c r="D289" s="3"/>
      <c r="E289" s="3"/>
      <c r="F289" s="3"/>
      <c r="H289" s="1473" t="s">
        <v>2639</v>
      </c>
      <c r="I289" s="1353"/>
      <c r="J289" s="1353"/>
      <c r="K289" s="1353"/>
      <c r="L289" s="1353"/>
      <c r="M289" s="1353"/>
      <c r="N289" s="1353"/>
      <c r="O289" s="1353"/>
      <c r="P289" s="1353"/>
      <c r="Q289" s="1353"/>
      <c r="R289" s="1353"/>
      <c r="T289" s="3" t="s">
        <v>75</v>
      </c>
      <c r="V289" s="3"/>
      <c r="W289" s="3"/>
      <c r="X289" s="3"/>
      <c r="Y289" s="3"/>
      <c r="AA289" s="1473" t="s">
        <v>2642</v>
      </c>
      <c r="AB289" s="1353"/>
      <c r="AC289" s="1353"/>
      <c r="AD289" s="1353"/>
      <c r="AE289" s="1353"/>
      <c r="AF289" s="1353"/>
      <c r="AG289" s="1353"/>
      <c r="AH289" s="1353"/>
      <c r="AI289" s="1353"/>
      <c r="AJ289" s="1353"/>
      <c r="AK289" s="1353"/>
    </row>
    <row r="290" spans="2:37" ht="12.95" customHeight="1">
      <c r="B290" s="3" t="s">
        <v>87</v>
      </c>
      <c r="C290" s="3"/>
      <c r="D290" s="3"/>
      <c r="E290" s="3"/>
      <c r="F290" s="3"/>
      <c r="H290" s="1473" t="s">
        <v>2627</v>
      </c>
      <c r="I290" s="1353"/>
      <c r="J290" s="1353"/>
      <c r="K290" s="1353"/>
      <c r="L290" s="1353"/>
      <c r="M290" s="1353"/>
      <c r="N290" s="1353"/>
      <c r="O290" s="1353"/>
      <c r="P290" s="1353"/>
      <c r="Q290" s="1353"/>
      <c r="R290" s="1353"/>
      <c r="T290" s="3" t="s">
        <v>87</v>
      </c>
      <c r="V290" s="3"/>
      <c r="W290" s="3"/>
      <c r="X290" s="3"/>
      <c r="Y290" s="3"/>
      <c r="AA290" s="1473" t="s">
        <v>2643</v>
      </c>
      <c r="AB290" s="1353"/>
      <c r="AC290" s="1353"/>
      <c r="AD290" s="1353"/>
      <c r="AE290" s="1353"/>
      <c r="AF290" s="1353"/>
      <c r="AG290" s="1353"/>
      <c r="AH290" s="1353"/>
      <c r="AI290" s="1353"/>
      <c r="AJ290" s="1353"/>
      <c r="AK290" s="1353"/>
    </row>
    <row r="291" spans="2:37" ht="12.95" customHeight="1">
      <c r="B291" s="3" t="s">
        <v>88</v>
      </c>
      <c r="C291" s="3"/>
      <c r="D291" s="3"/>
      <c r="E291" s="3"/>
      <c r="F291" s="3"/>
      <c r="G291" s="3"/>
      <c r="H291" s="1790" t="s">
        <v>2628</v>
      </c>
      <c r="I291" s="1428"/>
      <c r="J291" s="1428"/>
      <c r="K291" s="1428"/>
      <c r="L291" s="1428"/>
      <c r="M291" s="1428"/>
      <c r="N291" s="4" t="s">
        <v>206</v>
      </c>
      <c r="O291" s="4"/>
      <c r="P291" s="1422"/>
      <c r="Q291" s="1422"/>
      <c r="R291" s="1422"/>
      <c r="S291" s="3"/>
      <c r="T291" s="3" t="s">
        <v>88</v>
      </c>
      <c r="V291" s="3"/>
      <c r="W291" s="3"/>
      <c r="X291" s="3"/>
      <c r="Y291" s="3"/>
      <c r="AA291" s="1790" t="s">
        <v>2644</v>
      </c>
      <c r="AB291" s="1428"/>
      <c r="AC291" s="1428"/>
      <c r="AD291" s="1428"/>
      <c r="AE291" s="1428"/>
      <c r="AF291" s="1428"/>
      <c r="AG291" s="4" t="s">
        <v>206</v>
      </c>
      <c r="AH291" s="4"/>
      <c r="AI291" s="1422"/>
      <c r="AJ291" s="1422"/>
      <c r="AK291" s="1422"/>
    </row>
    <row r="292" spans="2:37" ht="12.95"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2.95" customHeight="1">
      <c r="B293" s="3" t="s">
        <v>76</v>
      </c>
      <c r="C293" s="3"/>
      <c r="D293" s="3"/>
      <c r="E293" s="3"/>
      <c r="F293" s="3"/>
      <c r="G293" s="3"/>
      <c r="H293" s="1473" t="s">
        <v>2629</v>
      </c>
      <c r="I293" s="1353"/>
      <c r="J293" s="1353"/>
      <c r="K293" s="1353"/>
      <c r="L293" s="1353"/>
      <c r="M293" s="1353"/>
      <c r="N293" s="1376"/>
      <c r="O293" s="1376"/>
      <c r="P293" s="1376"/>
      <c r="Q293" s="1376"/>
      <c r="R293" s="1376"/>
      <c r="S293" s="3"/>
      <c r="T293" s="3" t="s">
        <v>76</v>
      </c>
      <c r="V293" s="3"/>
      <c r="W293" s="3"/>
      <c r="X293" s="3"/>
      <c r="Y293" s="3"/>
      <c r="AA293" s="1473" t="s">
        <v>2645</v>
      </c>
      <c r="AB293" s="1353"/>
      <c r="AC293" s="1353"/>
      <c r="AD293" s="1353"/>
      <c r="AE293" s="1353"/>
      <c r="AF293" s="1353"/>
      <c r="AG293" s="1376"/>
      <c r="AH293" s="1376"/>
      <c r="AI293" s="1376"/>
      <c r="AJ293" s="1376"/>
      <c r="AK293" s="1376"/>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21" t="s">
        <v>2646</v>
      </c>
      <c r="I295" s="1376"/>
      <c r="J295" s="1376"/>
      <c r="K295" s="1376"/>
      <c r="L295" s="1376"/>
      <c r="M295" s="1376"/>
      <c r="N295" s="1376"/>
      <c r="O295" s="1376"/>
      <c r="P295" s="1376"/>
      <c r="Q295" s="1376"/>
      <c r="R295" s="1376"/>
      <c r="T295" s="3" t="s">
        <v>364</v>
      </c>
      <c r="V295" s="3"/>
      <c r="W295" s="3"/>
      <c r="X295" s="3"/>
      <c r="Y295" s="3"/>
      <c r="AA295" s="1421" t="s">
        <v>2652</v>
      </c>
      <c r="AB295" s="1376"/>
      <c r="AC295" s="1376"/>
      <c r="AD295" s="1376"/>
      <c r="AE295" s="1376"/>
      <c r="AF295" s="1376"/>
      <c r="AG295" s="1376"/>
      <c r="AH295" s="1376"/>
      <c r="AI295" s="1376"/>
      <c r="AJ295" s="1376"/>
      <c r="AK295" s="1376"/>
    </row>
    <row r="296" spans="2:37" ht="12.95" customHeight="1">
      <c r="B296" s="3" t="s">
        <v>472</v>
      </c>
      <c r="C296" s="3"/>
      <c r="D296" s="3"/>
      <c r="E296" s="3"/>
      <c r="F296" s="3"/>
      <c r="H296" s="1473" t="s">
        <v>2647</v>
      </c>
      <c r="I296" s="1353"/>
      <c r="J296" s="1353"/>
      <c r="K296" s="1353"/>
      <c r="L296" s="1353"/>
      <c r="M296" s="1353"/>
      <c r="N296" s="1353"/>
      <c r="O296" s="1353"/>
      <c r="P296" s="1353"/>
      <c r="Q296" s="1353"/>
      <c r="R296" s="1353"/>
      <c r="T296" s="3" t="s">
        <v>472</v>
      </c>
      <c r="V296" s="3"/>
      <c r="W296" s="3"/>
      <c r="X296" s="3"/>
      <c r="Y296" s="3"/>
      <c r="AA296" s="1473"/>
      <c r="AB296" s="1353"/>
      <c r="AC296" s="1353"/>
      <c r="AD296" s="1353"/>
      <c r="AE296" s="1353"/>
      <c r="AF296" s="1353"/>
      <c r="AG296" s="1353"/>
      <c r="AH296" s="1353"/>
      <c r="AI296" s="1353"/>
      <c r="AJ296" s="1353"/>
      <c r="AK296" s="1353"/>
    </row>
    <row r="297" spans="2:37" ht="12.95" customHeight="1">
      <c r="B297" s="3" t="s">
        <v>473</v>
      </c>
      <c r="C297" s="3"/>
      <c r="D297" s="3"/>
      <c r="E297" s="3"/>
      <c r="F297" s="3"/>
      <c r="H297" s="1473" t="s">
        <v>2648</v>
      </c>
      <c r="I297" s="1353"/>
      <c r="J297" s="1353"/>
      <c r="K297" s="1353"/>
      <c r="L297" s="1353"/>
      <c r="M297" s="1353"/>
      <c r="N297" s="1353"/>
      <c r="O297" s="1353"/>
      <c r="P297" s="1353"/>
      <c r="Q297" s="1353"/>
      <c r="R297" s="1353"/>
      <c r="T297" s="3" t="s">
        <v>75</v>
      </c>
      <c r="V297" s="3"/>
      <c r="W297" s="3"/>
      <c r="X297" s="3"/>
      <c r="Y297" s="3"/>
      <c r="AA297" s="1473"/>
      <c r="AB297" s="1353"/>
      <c r="AC297" s="1353"/>
      <c r="AD297" s="1353"/>
      <c r="AE297" s="1353"/>
      <c r="AF297" s="1353"/>
      <c r="AG297" s="1353"/>
      <c r="AH297" s="1353"/>
      <c r="AI297" s="1353"/>
      <c r="AJ297" s="1353"/>
      <c r="AK297" s="1353"/>
    </row>
    <row r="298" spans="2:37" ht="12.95" customHeight="1">
      <c r="B298" s="3" t="s">
        <v>87</v>
      </c>
      <c r="C298" s="3"/>
      <c r="D298" s="3"/>
      <c r="E298" s="3"/>
      <c r="F298" s="3"/>
      <c r="H298" s="1473" t="s">
        <v>2649</v>
      </c>
      <c r="I298" s="1353"/>
      <c r="J298" s="1353"/>
      <c r="K298" s="1353"/>
      <c r="L298" s="1353"/>
      <c r="M298" s="1353"/>
      <c r="N298" s="1353"/>
      <c r="O298" s="1353"/>
      <c r="P298" s="1353"/>
      <c r="Q298" s="1353"/>
      <c r="R298" s="1353"/>
      <c r="T298" s="3" t="s">
        <v>87</v>
      </c>
      <c r="V298" s="3"/>
      <c r="W298" s="3"/>
      <c r="X298" s="3"/>
      <c r="Y298" s="3"/>
      <c r="AA298" s="1473"/>
      <c r="AB298" s="1353"/>
      <c r="AC298" s="1353"/>
      <c r="AD298" s="1353"/>
      <c r="AE298" s="1353"/>
      <c r="AF298" s="1353"/>
      <c r="AG298" s="1353"/>
      <c r="AH298" s="1353"/>
      <c r="AI298" s="1353"/>
      <c r="AJ298" s="1353"/>
      <c r="AK298" s="1353"/>
    </row>
    <row r="299" spans="2:37" ht="12.95" customHeight="1">
      <c r="B299" s="3" t="s">
        <v>88</v>
      </c>
      <c r="C299" s="3"/>
      <c r="D299" s="3"/>
      <c r="E299" s="3"/>
      <c r="F299" s="3"/>
      <c r="G299" s="3"/>
      <c r="H299" s="1790" t="s">
        <v>2650</v>
      </c>
      <c r="I299" s="1428"/>
      <c r="J299" s="1428"/>
      <c r="K299" s="1428"/>
      <c r="L299" s="1428"/>
      <c r="M299" s="1428"/>
      <c r="N299" s="4" t="s">
        <v>206</v>
      </c>
      <c r="O299" s="4"/>
      <c r="P299" s="1422"/>
      <c r="Q299" s="1422"/>
      <c r="R299" s="1422"/>
      <c r="S299" s="3"/>
      <c r="T299" s="3" t="s">
        <v>88</v>
      </c>
      <c r="V299" s="3"/>
      <c r="W299" s="3"/>
      <c r="X299" s="3"/>
      <c r="Y299" s="3"/>
      <c r="AA299" s="1790"/>
      <c r="AB299" s="1428"/>
      <c r="AC299" s="1428"/>
      <c r="AD299" s="1428"/>
      <c r="AE299" s="1428"/>
      <c r="AF299" s="1428"/>
      <c r="AG299" s="4" t="s">
        <v>206</v>
      </c>
      <c r="AH299" s="4"/>
      <c r="AI299" s="1422"/>
      <c r="AJ299" s="1422"/>
      <c r="AK299" s="1422"/>
    </row>
    <row r="300" spans="2:37" ht="12.95"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2.95" customHeight="1">
      <c r="B301" s="3" t="s">
        <v>76</v>
      </c>
      <c r="C301" s="3"/>
      <c r="D301" s="3"/>
      <c r="E301" s="3"/>
      <c r="F301" s="3"/>
      <c r="G301" s="3"/>
      <c r="H301" s="1473" t="s">
        <v>2651</v>
      </c>
      <c r="I301" s="1353"/>
      <c r="J301" s="1353"/>
      <c r="K301" s="1353"/>
      <c r="L301" s="1353"/>
      <c r="M301" s="1353"/>
      <c r="N301" s="1376"/>
      <c r="O301" s="1376"/>
      <c r="P301" s="1376"/>
      <c r="Q301" s="1376"/>
      <c r="R301" s="1376"/>
      <c r="S301" s="3"/>
      <c r="T301" s="3" t="s">
        <v>76</v>
      </c>
      <c r="V301" s="3"/>
      <c r="W301" s="3"/>
      <c r="X301" s="3"/>
      <c r="Y301" s="3"/>
      <c r="AA301" s="1473"/>
      <c r="AB301" s="1353"/>
      <c r="AC301" s="1353"/>
      <c r="AD301" s="1353"/>
      <c r="AE301" s="1353"/>
      <c r="AF301" s="1353"/>
      <c r="AG301" s="1376"/>
      <c r="AH301" s="1376"/>
      <c r="AI301" s="1376"/>
      <c r="AJ301" s="1376"/>
      <c r="AK301" s="1376"/>
    </row>
    <row r="302" spans="2:37" ht="12.95" customHeight="1"/>
    <row r="303" spans="2:37" ht="12.95" customHeight="1">
      <c r="B303" s="3" t="s">
        <v>77</v>
      </c>
      <c r="C303" s="3"/>
      <c r="D303" s="3"/>
      <c r="E303" s="3"/>
      <c r="F303" s="3"/>
      <c r="H303" s="1421" t="s">
        <v>2646</v>
      </c>
      <c r="I303" s="1376"/>
      <c r="J303" s="1376"/>
      <c r="K303" s="1376"/>
      <c r="L303" s="1376"/>
      <c r="M303" s="1376"/>
      <c r="N303" s="1376"/>
      <c r="O303" s="1376"/>
      <c r="P303" s="1376"/>
      <c r="Q303" s="1376"/>
      <c r="R303" s="1376"/>
      <c r="T303" s="4" t="s">
        <v>879</v>
      </c>
      <c r="V303" s="3"/>
      <c r="W303" s="3"/>
      <c r="X303" s="3"/>
      <c r="Y303" s="3"/>
      <c r="AA303" s="1421" t="s">
        <v>2653</v>
      </c>
      <c r="AB303" s="1376"/>
      <c r="AC303" s="1376"/>
      <c r="AD303" s="1376"/>
      <c r="AE303" s="1376"/>
      <c r="AF303" s="1376"/>
      <c r="AG303" s="1376"/>
      <c r="AH303" s="1376"/>
      <c r="AI303" s="1376"/>
      <c r="AJ303" s="1376"/>
      <c r="AK303" s="1376"/>
    </row>
    <row r="304" spans="2:37" ht="12.95" customHeight="1">
      <c r="B304" s="3" t="s">
        <v>472</v>
      </c>
      <c r="C304" s="3"/>
      <c r="D304" s="3"/>
      <c r="E304" s="3"/>
      <c r="F304" s="3"/>
      <c r="H304" s="1473" t="s">
        <v>2647</v>
      </c>
      <c r="I304" s="1353"/>
      <c r="J304" s="1353"/>
      <c r="K304" s="1353"/>
      <c r="L304" s="1353"/>
      <c r="M304" s="1353"/>
      <c r="N304" s="1353"/>
      <c r="O304" s="1353"/>
      <c r="P304" s="1353"/>
      <c r="Q304" s="1353"/>
      <c r="R304" s="1353"/>
      <c r="T304" s="3" t="s">
        <v>472</v>
      </c>
      <c r="V304" s="3"/>
      <c r="W304" s="3"/>
      <c r="X304" s="3"/>
      <c r="Y304" s="3"/>
      <c r="AA304" s="1473" t="s">
        <v>2654</v>
      </c>
      <c r="AB304" s="1353"/>
      <c r="AC304" s="1353"/>
      <c r="AD304" s="1353"/>
      <c r="AE304" s="1353"/>
      <c r="AF304" s="1353"/>
      <c r="AG304" s="1353"/>
      <c r="AH304" s="1353"/>
      <c r="AI304" s="1353"/>
      <c r="AJ304" s="1353"/>
      <c r="AK304" s="1353"/>
    </row>
    <row r="305" spans="2:37" ht="12.95" customHeight="1">
      <c r="B305" s="3" t="s">
        <v>473</v>
      </c>
      <c r="C305" s="3"/>
      <c r="D305" s="3"/>
      <c r="E305" s="3"/>
      <c r="F305" s="3"/>
      <c r="H305" s="1473" t="s">
        <v>2648</v>
      </c>
      <c r="I305" s="1353"/>
      <c r="J305" s="1353"/>
      <c r="K305" s="1353"/>
      <c r="L305" s="1353"/>
      <c r="M305" s="1353"/>
      <c r="N305" s="1353"/>
      <c r="O305" s="1353"/>
      <c r="P305" s="1353"/>
      <c r="Q305" s="1353"/>
      <c r="R305" s="1353"/>
      <c r="T305" s="3" t="s">
        <v>75</v>
      </c>
      <c r="V305" s="3"/>
      <c r="W305" s="3"/>
      <c r="X305" s="3"/>
      <c r="Y305" s="3"/>
      <c r="AA305" s="1473" t="s">
        <v>2655</v>
      </c>
      <c r="AB305" s="1353"/>
      <c r="AC305" s="1353"/>
      <c r="AD305" s="1353"/>
      <c r="AE305" s="1353"/>
      <c r="AF305" s="1353"/>
      <c r="AG305" s="1353"/>
      <c r="AH305" s="1353"/>
      <c r="AI305" s="1353"/>
      <c r="AJ305" s="1353"/>
      <c r="AK305" s="1353"/>
    </row>
    <row r="306" spans="2:37" ht="12.95" customHeight="1">
      <c r="B306" s="3" t="s">
        <v>87</v>
      </c>
      <c r="C306" s="3"/>
      <c r="D306" s="3"/>
      <c r="E306" s="3"/>
      <c r="F306" s="3"/>
      <c r="H306" s="1473" t="s">
        <v>2649</v>
      </c>
      <c r="I306" s="1353"/>
      <c r="J306" s="1353"/>
      <c r="K306" s="1353"/>
      <c r="L306" s="1353"/>
      <c r="M306" s="1353"/>
      <c r="N306" s="1353"/>
      <c r="O306" s="1353"/>
      <c r="P306" s="1353"/>
      <c r="Q306" s="1353"/>
      <c r="R306" s="1353"/>
      <c r="T306" s="3" t="s">
        <v>87</v>
      </c>
      <c r="V306" s="3"/>
      <c r="W306" s="3"/>
      <c r="X306" s="3"/>
      <c r="Y306" s="3"/>
      <c r="AA306" s="1473" t="s">
        <v>2656</v>
      </c>
      <c r="AB306" s="1353"/>
      <c r="AC306" s="1353"/>
      <c r="AD306" s="1353"/>
      <c r="AE306" s="1353"/>
      <c r="AF306" s="1353"/>
      <c r="AG306" s="1353"/>
      <c r="AH306" s="1353"/>
      <c r="AI306" s="1353"/>
      <c r="AJ306" s="1353"/>
      <c r="AK306" s="1353"/>
    </row>
    <row r="307" spans="2:37" ht="12.95" customHeight="1">
      <c r="B307" s="3" t="s">
        <v>88</v>
      </c>
      <c r="C307" s="3"/>
      <c r="D307" s="3"/>
      <c r="E307" s="3"/>
      <c r="F307" s="3"/>
      <c r="G307" s="3"/>
      <c r="H307" s="1790" t="s">
        <v>2650</v>
      </c>
      <c r="I307" s="1428"/>
      <c r="J307" s="1428"/>
      <c r="K307" s="1428"/>
      <c r="L307" s="1428"/>
      <c r="M307" s="1428"/>
      <c r="N307" s="4" t="s">
        <v>206</v>
      </c>
      <c r="O307" s="4"/>
      <c r="P307" s="1422"/>
      <c r="Q307" s="1422"/>
      <c r="R307" s="1422"/>
      <c r="S307" s="3"/>
      <c r="T307" s="3" t="s">
        <v>88</v>
      </c>
      <c r="V307" s="3"/>
      <c r="W307" s="3"/>
      <c r="X307" s="3"/>
      <c r="Y307" s="3"/>
      <c r="AA307" s="1790" t="s">
        <v>2658</v>
      </c>
      <c r="AB307" s="1428"/>
      <c r="AC307" s="1428"/>
      <c r="AD307" s="1428"/>
      <c r="AE307" s="1428"/>
      <c r="AF307" s="1428"/>
      <c r="AG307" s="4" t="s">
        <v>206</v>
      </c>
      <c r="AH307" s="4"/>
      <c r="AI307" s="1422"/>
      <c r="AJ307" s="1422"/>
      <c r="AK307" s="1422"/>
    </row>
    <row r="308" spans="2:37" ht="12.95"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2.95" customHeight="1">
      <c r="B309" s="3" t="s">
        <v>76</v>
      </c>
      <c r="C309" s="3"/>
      <c r="D309" s="3"/>
      <c r="E309" s="3"/>
      <c r="F309" s="3"/>
      <c r="G309" s="3"/>
      <c r="H309" s="1473" t="s">
        <v>2651</v>
      </c>
      <c r="I309" s="1353"/>
      <c r="J309" s="1353"/>
      <c r="K309" s="1353"/>
      <c r="L309" s="1353"/>
      <c r="M309" s="1353"/>
      <c r="N309" s="1376"/>
      <c r="O309" s="1376"/>
      <c r="P309" s="1376"/>
      <c r="Q309" s="1376"/>
      <c r="R309" s="1376"/>
      <c r="S309" s="3"/>
      <c r="T309" s="3" t="s">
        <v>76</v>
      </c>
      <c r="V309" s="3"/>
      <c r="W309" s="3"/>
      <c r="X309" s="3"/>
      <c r="Y309" s="3"/>
      <c r="AA309" s="1473" t="s">
        <v>2657</v>
      </c>
      <c r="AB309" s="1353"/>
      <c r="AC309" s="1353"/>
      <c r="AD309" s="1353"/>
      <c r="AE309" s="1353"/>
      <c r="AF309" s="1353"/>
      <c r="AG309" s="1376"/>
      <c r="AH309" s="1376"/>
      <c r="AI309" s="1376"/>
      <c r="AJ309" s="1376"/>
      <c r="AK309" s="1376"/>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21" t="s">
        <v>2659</v>
      </c>
      <c r="I311" s="1376"/>
      <c r="J311" s="1376"/>
      <c r="K311" s="1376"/>
      <c r="L311" s="1376"/>
      <c r="M311" s="1376"/>
      <c r="N311" s="1376"/>
      <c r="O311" s="1376"/>
      <c r="P311" s="1376"/>
      <c r="Q311" s="1376"/>
      <c r="R311" s="1376"/>
      <c r="S311" s="3"/>
      <c r="T311" s="3" t="s">
        <v>365</v>
      </c>
      <c r="V311" s="3"/>
      <c r="W311" s="3"/>
      <c r="X311" s="3"/>
      <c r="Y311" s="3"/>
      <c r="AA311" s="1421" t="s">
        <v>2652</v>
      </c>
      <c r="AB311" s="1376"/>
      <c r="AC311" s="1376"/>
      <c r="AD311" s="1376"/>
      <c r="AE311" s="1376"/>
      <c r="AF311" s="1376"/>
      <c r="AG311" s="1376"/>
      <c r="AH311" s="1376"/>
      <c r="AI311" s="1376"/>
      <c r="AJ311" s="1376"/>
      <c r="AK311" s="1376"/>
    </row>
    <row r="312" spans="2:37" ht="12.95" customHeight="1">
      <c r="B312" s="3" t="s">
        <v>472</v>
      </c>
      <c r="C312" s="3"/>
      <c r="D312" s="3"/>
      <c r="E312" s="3"/>
      <c r="F312" s="3"/>
      <c r="H312" s="1473" t="s">
        <v>2660</v>
      </c>
      <c r="I312" s="1353"/>
      <c r="J312" s="1353"/>
      <c r="K312" s="1353"/>
      <c r="L312" s="1353"/>
      <c r="M312" s="1353"/>
      <c r="N312" s="1353"/>
      <c r="O312" s="1353"/>
      <c r="P312" s="1353"/>
      <c r="Q312" s="1353"/>
      <c r="R312" s="1353"/>
      <c r="S312" s="3"/>
      <c r="T312" s="3" t="s">
        <v>472</v>
      </c>
      <c r="V312" s="3"/>
      <c r="W312" s="3"/>
      <c r="X312" s="3"/>
      <c r="Y312" s="3"/>
      <c r="AA312" s="1353"/>
      <c r="AB312" s="1353"/>
      <c r="AC312" s="1353"/>
      <c r="AD312" s="1353"/>
      <c r="AE312" s="1353"/>
      <c r="AF312" s="1353"/>
      <c r="AG312" s="1353"/>
      <c r="AH312" s="1353"/>
      <c r="AI312" s="1353"/>
      <c r="AJ312" s="1353"/>
      <c r="AK312" s="1353"/>
    </row>
    <row r="313" spans="2:37" ht="12.95" customHeight="1">
      <c r="B313" s="3" t="s">
        <v>473</v>
      </c>
      <c r="C313" s="3"/>
      <c r="D313" s="3"/>
      <c r="E313" s="3"/>
      <c r="F313" s="3"/>
      <c r="H313" s="1473" t="s">
        <v>2661</v>
      </c>
      <c r="I313" s="1353"/>
      <c r="J313" s="1353"/>
      <c r="K313" s="1353"/>
      <c r="L313" s="1353"/>
      <c r="M313" s="1353"/>
      <c r="N313" s="1353"/>
      <c r="O313" s="1353"/>
      <c r="P313" s="1353"/>
      <c r="Q313" s="1353"/>
      <c r="R313" s="1353"/>
      <c r="S313" s="3"/>
      <c r="T313" s="3" t="s">
        <v>75</v>
      </c>
      <c r="V313" s="3"/>
      <c r="W313" s="3"/>
      <c r="X313" s="3"/>
      <c r="Y313" s="3"/>
      <c r="AA313" s="1353"/>
      <c r="AB313" s="1353"/>
      <c r="AC313" s="1353"/>
      <c r="AD313" s="1353"/>
      <c r="AE313" s="1353"/>
      <c r="AF313" s="1353"/>
      <c r="AG313" s="1353"/>
      <c r="AH313" s="1353"/>
      <c r="AI313" s="1353"/>
      <c r="AJ313" s="1353"/>
      <c r="AK313" s="1353"/>
    </row>
    <row r="314" spans="2:37" ht="12.95" customHeight="1">
      <c r="B314" s="3" t="s">
        <v>87</v>
      </c>
      <c r="C314" s="3"/>
      <c r="D314" s="3"/>
      <c r="E314" s="3"/>
      <c r="F314" s="3"/>
      <c r="H314" s="1473" t="s">
        <v>2662</v>
      </c>
      <c r="I314" s="1353"/>
      <c r="J314" s="1353"/>
      <c r="K314" s="1353"/>
      <c r="L314" s="1353"/>
      <c r="M314" s="1353"/>
      <c r="N314" s="1353"/>
      <c r="O314" s="1353"/>
      <c r="P314" s="1353"/>
      <c r="Q314" s="1353"/>
      <c r="R314" s="1353"/>
      <c r="S314" s="3"/>
      <c r="T314" s="3" t="s">
        <v>87</v>
      </c>
      <c r="V314" s="3"/>
      <c r="W314" s="3"/>
      <c r="X314" s="3"/>
      <c r="Y314" s="3"/>
      <c r="AA314" s="1353"/>
      <c r="AB314" s="1353"/>
      <c r="AC314" s="1353"/>
      <c r="AD314" s="1353"/>
      <c r="AE314" s="1353"/>
      <c r="AF314" s="1353"/>
      <c r="AG314" s="1353"/>
      <c r="AH314" s="1353"/>
      <c r="AI314" s="1353"/>
      <c r="AJ314" s="1353"/>
      <c r="AK314" s="1353"/>
    </row>
    <row r="315" spans="2:37" ht="12.95" customHeight="1">
      <c r="B315" s="3" t="s">
        <v>88</v>
      </c>
      <c r="C315" s="3"/>
      <c r="D315" s="3"/>
      <c r="E315" s="3"/>
      <c r="F315" s="3"/>
      <c r="G315" s="3"/>
      <c r="H315" s="1790" t="s">
        <v>2663</v>
      </c>
      <c r="I315" s="1428"/>
      <c r="J315" s="1428"/>
      <c r="K315" s="1428"/>
      <c r="L315" s="1428"/>
      <c r="M315" s="1428"/>
      <c r="N315" s="4" t="s">
        <v>206</v>
      </c>
      <c r="O315" s="4"/>
      <c r="P315" s="1422"/>
      <c r="Q315" s="1422"/>
      <c r="R315" s="1422"/>
      <c r="S315" s="3"/>
      <c r="T315" s="3" t="s">
        <v>88</v>
      </c>
      <c r="V315" s="3"/>
      <c r="W315" s="3"/>
      <c r="X315" s="3"/>
      <c r="Y315" s="3"/>
      <c r="AA315" s="1428"/>
      <c r="AB315" s="1428"/>
      <c r="AC315" s="1428"/>
      <c r="AD315" s="1428"/>
      <c r="AE315" s="1428"/>
      <c r="AF315" s="1428"/>
      <c r="AG315" s="4" t="s">
        <v>206</v>
      </c>
      <c r="AH315" s="4"/>
      <c r="AI315" s="1422"/>
      <c r="AJ315" s="1422"/>
      <c r="AK315" s="1422"/>
    </row>
    <row r="316" spans="2:37" ht="12.95"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2.95" customHeight="1">
      <c r="B317" s="3" t="s">
        <v>76</v>
      </c>
      <c r="C317" s="3"/>
      <c r="D317" s="3"/>
      <c r="E317" s="3"/>
      <c r="F317" s="3"/>
      <c r="G317" s="3"/>
      <c r="H317" s="1473" t="s">
        <v>2664</v>
      </c>
      <c r="I317" s="1353"/>
      <c r="J317" s="1353"/>
      <c r="K317" s="1353"/>
      <c r="L317" s="1353"/>
      <c r="M317" s="1353"/>
      <c r="N317" s="1376"/>
      <c r="O317" s="1376"/>
      <c r="P317" s="1376"/>
      <c r="Q317" s="1376"/>
      <c r="R317" s="1376"/>
      <c r="S317" s="3"/>
      <c r="T317" s="3" t="s">
        <v>76</v>
      </c>
      <c r="V317" s="3"/>
      <c r="W317" s="3"/>
      <c r="X317" s="3"/>
      <c r="Y317" s="3"/>
      <c r="AA317" s="1353"/>
      <c r="AB317" s="1353"/>
      <c r="AC317" s="1353"/>
      <c r="AD317" s="1353"/>
      <c r="AE317" s="1353"/>
      <c r="AF317" s="1353"/>
      <c r="AG317" s="1376"/>
      <c r="AH317" s="1376"/>
      <c r="AI317" s="1376"/>
      <c r="AJ317" s="1376"/>
      <c r="AK317" s="1376"/>
    </row>
    <row r="318" spans="2:37" ht="12.95" customHeight="1"/>
    <row r="319" spans="2:37" ht="12.95" customHeight="1">
      <c r="B319" s="4" t="s">
        <v>909</v>
      </c>
      <c r="C319" s="3"/>
      <c r="D319" s="3"/>
      <c r="E319" s="3"/>
      <c r="F319" s="3"/>
      <c r="H319" s="1421" t="s">
        <v>2665</v>
      </c>
      <c r="I319" s="1376"/>
      <c r="J319" s="1376"/>
      <c r="K319" s="1376"/>
      <c r="L319" s="1376"/>
      <c r="M319" s="1376"/>
      <c r="N319" s="1376"/>
      <c r="O319" s="1376"/>
      <c r="P319" s="1376"/>
      <c r="Q319" s="1376"/>
      <c r="R319" s="1376"/>
      <c r="T319" s="3" t="s">
        <v>366</v>
      </c>
      <c r="V319" s="3"/>
      <c r="W319" s="3"/>
      <c r="X319" s="3"/>
      <c r="Y319" s="3"/>
      <c r="AA319" s="1421" t="s">
        <v>2687</v>
      </c>
      <c r="AB319" s="1376"/>
      <c r="AC319" s="1376"/>
      <c r="AD319" s="1376"/>
      <c r="AE319" s="1376"/>
      <c r="AF319" s="1376"/>
      <c r="AG319" s="1376"/>
      <c r="AH319" s="1376"/>
      <c r="AI319" s="1376"/>
      <c r="AJ319" s="1376"/>
      <c r="AK319" s="1376"/>
    </row>
    <row r="320" spans="2:37" ht="12.95" customHeight="1">
      <c r="B320" s="3" t="s">
        <v>472</v>
      </c>
      <c r="C320" s="3"/>
      <c r="D320" s="3"/>
      <c r="E320" s="3"/>
      <c r="F320" s="3"/>
      <c r="H320" s="1473" t="s">
        <v>2666</v>
      </c>
      <c r="I320" s="1353"/>
      <c r="J320" s="1353"/>
      <c r="K320" s="1353"/>
      <c r="L320" s="1353"/>
      <c r="M320" s="1353"/>
      <c r="N320" s="1353"/>
      <c r="O320" s="1353"/>
      <c r="P320" s="1353"/>
      <c r="Q320" s="1353"/>
      <c r="R320" s="1353"/>
      <c r="T320" s="3" t="s">
        <v>472</v>
      </c>
      <c r="V320" s="3"/>
      <c r="W320" s="3"/>
      <c r="X320" s="3"/>
      <c r="Y320" s="3"/>
      <c r="AA320" s="1473" t="s">
        <v>2688</v>
      </c>
      <c r="AB320" s="1353"/>
      <c r="AC320" s="1353"/>
      <c r="AD320" s="1353"/>
      <c r="AE320" s="1353"/>
      <c r="AF320" s="1353"/>
      <c r="AG320" s="1353"/>
      <c r="AH320" s="1353"/>
      <c r="AI320" s="1353"/>
      <c r="AJ320" s="1353"/>
      <c r="AK320" s="1353"/>
    </row>
    <row r="321" spans="2:37" ht="12.95" customHeight="1">
      <c r="B321" s="3" t="s">
        <v>473</v>
      </c>
      <c r="C321" s="3"/>
      <c r="D321" s="3"/>
      <c r="E321" s="3"/>
      <c r="F321" s="3"/>
      <c r="H321" s="1473" t="s">
        <v>2667</v>
      </c>
      <c r="I321" s="1353"/>
      <c r="J321" s="1353"/>
      <c r="K321" s="1353"/>
      <c r="L321" s="1353"/>
      <c r="M321" s="1353"/>
      <c r="N321" s="1353"/>
      <c r="O321" s="1353"/>
      <c r="P321" s="1353"/>
      <c r="Q321" s="1353"/>
      <c r="R321" s="1353"/>
      <c r="T321" s="3" t="s">
        <v>75</v>
      </c>
      <c r="V321" s="3"/>
      <c r="W321" s="3"/>
      <c r="X321" s="3"/>
      <c r="Y321" s="3"/>
      <c r="AA321" s="1473" t="s">
        <v>2689</v>
      </c>
      <c r="AB321" s="1353"/>
      <c r="AC321" s="1353"/>
      <c r="AD321" s="1353"/>
      <c r="AE321" s="1353"/>
      <c r="AF321" s="1353"/>
      <c r="AG321" s="1353"/>
      <c r="AH321" s="1353"/>
      <c r="AI321" s="1353"/>
      <c r="AJ321" s="1353"/>
      <c r="AK321" s="1353"/>
    </row>
    <row r="322" spans="2:37" ht="12.95" customHeight="1">
      <c r="B322" s="3" t="s">
        <v>87</v>
      </c>
      <c r="C322" s="3"/>
      <c r="D322" s="3"/>
      <c r="E322" s="3"/>
      <c r="F322" s="3"/>
      <c r="H322" s="1473" t="s">
        <v>2668</v>
      </c>
      <c r="I322" s="1353"/>
      <c r="J322" s="1353"/>
      <c r="K322" s="1353"/>
      <c r="L322" s="1353"/>
      <c r="M322" s="1353"/>
      <c r="N322" s="1353"/>
      <c r="O322" s="1353"/>
      <c r="P322" s="1353"/>
      <c r="Q322" s="1353"/>
      <c r="R322" s="1353"/>
      <c r="T322" s="3" t="s">
        <v>87</v>
      </c>
      <c r="V322" s="3"/>
      <c r="W322" s="3"/>
      <c r="X322" s="3"/>
      <c r="Y322" s="3"/>
      <c r="AA322" s="1473" t="s">
        <v>2690</v>
      </c>
      <c r="AB322" s="1353"/>
      <c r="AC322" s="1353"/>
      <c r="AD322" s="1353"/>
      <c r="AE322" s="1353"/>
      <c r="AF322" s="1353"/>
      <c r="AG322" s="1353"/>
      <c r="AH322" s="1353"/>
      <c r="AI322" s="1353"/>
      <c r="AJ322" s="1353"/>
      <c r="AK322" s="1353"/>
    </row>
    <row r="323" spans="2:37" ht="12.95" customHeight="1">
      <c r="B323" s="3" t="s">
        <v>88</v>
      </c>
      <c r="C323" s="3"/>
      <c r="D323" s="3"/>
      <c r="E323" s="3"/>
      <c r="F323" s="3"/>
      <c r="G323" s="3"/>
      <c r="H323" s="1790" t="s">
        <v>2669</v>
      </c>
      <c r="I323" s="1428"/>
      <c r="J323" s="1428"/>
      <c r="K323" s="1428"/>
      <c r="L323" s="1428"/>
      <c r="M323" s="1428"/>
      <c r="N323" s="4" t="s">
        <v>206</v>
      </c>
      <c r="O323" s="4"/>
      <c r="P323" s="1422"/>
      <c r="Q323" s="1422"/>
      <c r="R323" s="1422"/>
      <c r="S323" s="3"/>
      <c r="T323" s="3" t="s">
        <v>88</v>
      </c>
      <c r="V323" s="3"/>
      <c r="W323" s="3"/>
      <c r="X323" s="3"/>
      <c r="Y323" s="3"/>
      <c r="AA323" s="1790" t="s">
        <v>2691</v>
      </c>
      <c r="AB323" s="1428"/>
      <c r="AC323" s="1428"/>
      <c r="AD323" s="1428"/>
      <c r="AE323" s="1428"/>
      <c r="AF323" s="1428"/>
      <c r="AG323" s="4" t="s">
        <v>206</v>
      </c>
      <c r="AH323" s="4"/>
      <c r="AI323" s="1422">
        <v>1</v>
      </c>
      <c r="AJ323" s="1422"/>
      <c r="AK323" s="1422"/>
    </row>
    <row r="324" spans="2:37" ht="12.95"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7" t="s">
        <v>2692</v>
      </c>
      <c r="AB324" s="1348"/>
      <c r="AC324" s="1348"/>
      <c r="AD324" s="1348"/>
      <c r="AE324" s="1348"/>
      <c r="AF324" s="1348"/>
      <c r="AG324" s="4"/>
      <c r="AH324" s="4"/>
      <c r="AI324" s="35"/>
      <c r="AJ324" s="35"/>
      <c r="AK324" s="35"/>
    </row>
    <row r="325" spans="2:37" ht="12.95" customHeight="1">
      <c r="B325" s="3" t="s">
        <v>76</v>
      </c>
      <c r="C325" s="3"/>
      <c r="D325" s="3"/>
      <c r="E325" s="3"/>
      <c r="F325" s="3"/>
      <c r="G325" s="3"/>
      <c r="H325" s="1473" t="s">
        <v>2670</v>
      </c>
      <c r="I325" s="1353"/>
      <c r="J325" s="1353"/>
      <c r="K325" s="1353"/>
      <c r="L325" s="1353"/>
      <c r="M325" s="1353"/>
      <c r="N325" s="1376"/>
      <c r="O325" s="1376"/>
      <c r="P325" s="1376"/>
      <c r="Q325" s="1376"/>
      <c r="R325" s="1376"/>
      <c r="S325" s="3"/>
      <c r="T325" s="3" t="s">
        <v>76</v>
      </c>
      <c r="V325" s="3"/>
      <c r="W325" s="3"/>
      <c r="X325" s="3"/>
      <c r="Y325" s="3"/>
      <c r="AA325" s="1473" t="s">
        <v>2693</v>
      </c>
      <c r="AB325" s="1353"/>
      <c r="AC325" s="1353"/>
      <c r="AD325" s="1353"/>
      <c r="AE325" s="1353"/>
      <c r="AF325" s="1353"/>
      <c r="AG325" s="1376"/>
      <c r="AH325" s="1376"/>
      <c r="AI325" s="1376"/>
      <c r="AJ325" s="1376"/>
      <c r="AK325" s="1376"/>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21" t="s">
        <v>2671</v>
      </c>
      <c r="I327" s="1376"/>
      <c r="J327" s="1376"/>
      <c r="K327" s="1376"/>
      <c r="L327" s="1376"/>
      <c r="M327" s="1376"/>
      <c r="N327" s="1376"/>
      <c r="O327" s="1376"/>
      <c r="P327" s="1376"/>
      <c r="Q327" s="1376"/>
      <c r="R327" s="1376"/>
      <c r="T327" s="3" t="s">
        <v>368</v>
      </c>
      <c r="V327" s="3"/>
      <c r="W327" s="3"/>
      <c r="X327" s="3"/>
      <c r="Y327" s="3"/>
      <c r="AA327" s="1421" t="s">
        <v>2671</v>
      </c>
      <c r="AB327" s="1376"/>
      <c r="AC327" s="1376"/>
      <c r="AD327" s="1376"/>
      <c r="AE327" s="1376"/>
      <c r="AF327" s="1376"/>
      <c r="AG327" s="1376"/>
      <c r="AH327" s="1376"/>
      <c r="AI327" s="1376"/>
      <c r="AJ327" s="1376"/>
      <c r="AK327" s="1376"/>
    </row>
    <row r="328" spans="2:37" ht="12.95" customHeight="1">
      <c r="B328" s="3" t="s">
        <v>472</v>
      </c>
      <c r="C328" s="3"/>
      <c r="D328" s="3"/>
      <c r="E328" s="3"/>
      <c r="F328" s="3"/>
      <c r="H328" s="1473"/>
      <c r="I328" s="1353"/>
      <c r="J328" s="1353"/>
      <c r="K328" s="1353"/>
      <c r="L328" s="1353"/>
      <c r="M328" s="1353"/>
      <c r="N328" s="1353"/>
      <c r="O328" s="1353"/>
      <c r="P328" s="1353"/>
      <c r="Q328" s="1353"/>
      <c r="R328" s="1353"/>
      <c r="T328" s="3" t="s">
        <v>472</v>
      </c>
      <c r="V328" s="3"/>
      <c r="W328" s="3"/>
      <c r="X328" s="3"/>
      <c r="Y328" s="3"/>
      <c r="AA328" s="1353"/>
      <c r="AB328" s="1353"/>
      <c r="AC328" s="1353"/>
      <c r="AD328" s="1353"/>
      <c r="AE328" s="1353"/>
      <c r="AF328" s="1353"/>
      <c r="AG328" s="1353"/>
      <c r="AH328" s="1353"/>
      <c r="AI328" s="1353"/>
      <c r="AJ328" s="1353"/>
      <c r="AK328" s="1353"/>
    </row>
    <row r="329" spans="2:37" ht="12.95" customHeight="1">
      <c r="B329" s="3" t="s">
        <v>473</v>
      </c>
      <c r="C329" s="3"/>
      <c r="D329" s="3"/>
      <c r="E329" s="3"/>
      <c r="F329" s="3"/>
      <c r="H329" s="1473"/>
      <c r="I329" s="1353"/>
      <c r="J329" s="1353"/>
      <c r="K329" s="1353"/>
      <c r="L329" s="1353"/>
      <c r="M329" s="1353"/>
      <c r="N329" s="1353"/>
      <c r="O329" s="1353"/>
      <c r="P329" s="1353"/>
      <c r="Q329" s="1353"/>
      <c r="R329" s="1353"/>
      <c r="T329" s="3" t="s">
        <v>75</v>
      </c>
      <c r="V329" s="3"/>
      <c r="W329" s="3"/>
      <c r="X329" s="3"/>
      <c r="Y329" s="3"/>
      <c r="AA329" s="1353"/>
      <c r="AB329" s="1353"/>
      <c r="AC329" s="1353"/>
      <c r="AD329" s="1353"/>
      <c r="AE329" s="1353"/>
      <c r="AF329" s="1353"/>
      <c r="AG329" s="1353"/>
      <c r="AH329" s="1353"/>
      <c r="AI329" s="1353"/>
      <c r="AJ329" s="1353"/>
      <c r="AK329" s="1353"/>
    </row>
    <row r="330" spans="2:37" ht="12.95" customHeight="1">
      <c r="B330" s="3" t="s">
        <v>87</v>
      </c>
      <c r="C330" s="3"/>
      <c r="D330" s="3"/>
      <c r="E330" s="3"/>
      <c r="F330" s="3"/>
      <c r="H330" s="1473"/>
      <c r="I330" s="1353"/>
      <c r="J330" s="1353"/>
      <c r="K330" s="1353"/>
      <c r="L330" s="1353"/>
      <c r="M330" s="1353"/>
      <c r="N330" s="1353"/>
      <c r="O330" s="1353"/>
      <c r="P330" s="1353"/>
      <c r="Q330" s="1353"/>
      <c r="R330" s="1353"/>
      <c r="T330" s="3" t="s">
        <v>87</v>
      </c>
      <c r="V330" s="3"/>
      <c r="W330" s="3"/>
      <c r="X330" s="3"/>
      <c r="Y330" s="3"/>
      <c r="AA330" s="1353"/>
      <c r="AB330" s="1353"/>
      <c r="AC330" s="1353"/>
      <c r="AD330" s="1353"/>
      <c r="AE330" s="1353"/>
      <c r="AF330" s="1353"/>
      <c r="AG330" s="1353"/>
      <c r="AH330" s="1353"/>
      <c r="AI330" s="1353"/>
      <c r="AJ330" s="1353"/>
      <c r="AK330" s="1353"/>
    </row>
    <row r="331" spans="2:37" ht="12.95" customHeight="1">
      <c r="B331" s="3" t="s">
        <v>88</v>
      </c>
      <c r="C331" s="3"/>
      <c r="D331" s="3"/>
      <c r="E331" s="3"/>
      <c r="F331" s="3"/>
      <c r="G331" s="3"/>
      <c r="H331" s="1790"/>
      <c r="I331" s="1428"/>
      <c r="J331" s="1428"/>
      <c r="K331" s="1428"/>
      <c r="L331" s="1428"/>
      <c r="M331" s="1428"/>
      <c r="N331" s="4" t="s">
        <v>206</v>
      </c>
      <c r="O331" s="4"/>
      <c r="P331" s="1422"/>
      <c r="Q331" s="1422"/>
      <c r="R331" s="1422"/>
      <c r="S331" s="3"/>
      <c r="T331" s="3" t="s">
        <v>88</v>
      </c>
      <c r="V331" s="3"/>
      <c r="W331" s="3"/>
      <c r="X331" s="3"/>
      <c r="Y331" s="3"/>
      <c r="AA331" s="1428"/>
      <c r="AB331" s="1428"/>
      <c r="AC331" s="1428"/>
      <c r="AD331" s="1428"/>
      <c r="AE331" s="1428"/>
      <c r="AF331" s="1428"/>
      <c r="AG331" s="4" t="s">
        <v>206</v>
      </c>
      <c r="AH331" s="4"/>
      <c r="AI331" s="1422"/>
      <c r="AJ331" s="1422"/>
      <c r="AK331" s="1422"/>
    </row>
    <row r="332" spans="2:37" ht="12.95"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2.95" customHeight="1">
      <c r="B333" s="3" t="s">
        <v>76</v>
      </c>
      <c r="C333" s="3"/>
      <c r="D333" s="3"/>
      <c r="E333" s="3"/>
      <c r="F333" s="3"/>
      <c r="G333" s="3"/>
      <c r="H333" s="1473"/>
      <c r="I333" s="1353"/>
      <c r="J333" s="1353"/>
      <c r="K333" s="1353"/>
      <c r="L333" s="1353"/>
      <c r="M333" s="1353"/>
      <c r="N333" s="1376"/>
      <c r="O333" s="1376"/>
      <c r="P333" s="1376"/>
      <c r="Q333" s="1376"/>
      <c r="R333" s="1376"/>
      <c r="S333" s="3"/>
      <c r="T333" s="3" t="s">
        <v>76</v>
      </c>
      <c r="V333" s="3"/>
      <c r="W333" s="3"/>
      <c r="X333" s="3"/>
      <c r="Y333" s="3"/>
      <c r="AA333" s="1353"/>
      <c r="AB333" s="1353"/>
      <c r="AC333" s="1353"/>
      <c r="AD333" s="1353"/>
      <c r="AE333" s="1353"/>
      <c r="AF333" s="1353"/>
      <c r="AG333" s="1376"/>
      <c r="AH333" s="1376"/>
      <c r="AI333" s="1376"/>
      <c r="AJ333" s="1376"/>
      <c r="AK333" s="1376"/>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6" t="s">
        <v>2697</v>
      </c>
      <c r="I335" s="1376"/>
      <c r="J335" s="1376"/>
      <c r="K335" s="1376"/>
      <c r="L335" s="1376"/>
      <c r="M335" s="1376"/>
      <c r="N335" s="1376"/>
      <c r="O335" s="1376"/>
      <c r="P335" s="1376"/>
      <c r="Q335" s="1376"/>
      <c r="R335" s="1376"/>
      <c r="T335" s="204" t="s">
        <v>887</v>
      </c>
      <c r="V335" s="3"/>
      <c r="W335" s="3"/>
      <c r="X335" s="3"/>
      <c r="Y335" s="3"/>
      <c r="AA335" s="1421" t="s">
        <v>2672</v>
      </c>
      <c r="AB335" s="1376"/>
      <c r="AC335" s="1376"/>
      <c r="AD335" s="1376"/>
      <c r="AE335" s="1376"/>
      <c r="AF335" s="1376"/>
      <c r="AG335" s="1376"/>
      <c r="AH335" s="1376"/>
      <c r="AI335" s="1376"/>
      <c r="AJ335" s="1376"/>
      <c r="AK335" s="1376"/>
    </row>
    <row r="336" spans="2:37" ht="12.95" customHeight="1">
      <c r="B336" s="3" t="s">
        <v>472</v>
      </c>
      <c r="C336" s="3"/>
      <c r="D336" s="3"/>
      <c r="E336" s="3"/>
      <c r="F336" s="3"/>
      <c r="H336" s="1353" t="s">
        <v>2617</v>
      </c>
      <c r="I336" s="1353"/>
      <c r="J336" s="1353"/>
      <c r="K336" s="1353"/>
      <c r="L336" s="1353"/>
      <c r="M336" s="1353"/>
      <c r="N336" s="1353"/>
      <c r="O336" s="1353"/>
      <c r="P336" s="1353"/>
      <c r="Q336" s="1353"/>
      <c r="R336" s="1353"/>
      <c r="T336" s="3" t="s">
        <v>472</v>
      </c>
      <c r="V336" s="3"/>
      <c r="W336" s="3"/>
      <c r="X336" s="3"/>
      <c r="Y336" s="3"/>
      <c r="AA336" s="1473" t="s">
        <v>2673</v>
      </c>
      <c r="AB336" s="1353"/>
      <c r="AC336" s="1353"/>
      <c r="AD336" s="1353"/>
      <c r="AE336" s="1353"/>
      <c r="AF336" s="1353"/>
      <c r="AG336" s="1353"/>
      <c r="AH336" s="1353"/>
      <c r="AI336" s="1353"/>
      <c r="AJ336" s="1353"/>
      <c r="AK336" s="1353"/>
    </row>
    <row r="337" spans="1:66" ht="12.95" customHeight="1">
      <c r="B337" s="3" t="s">
        <v>75</v>
      </c>
      <c r="C337" s="3"/>
      <c r="D337" s="3"/>
      <c r="E337" s="3"/>
      <c r="F337" s="3"/>
      <c r="H337" s="1353" t="s">
        <v>2698</v>
      </c>
      <c r="I337" s="1353"/>
      <c r="J337" s="1353"/>
      <c r="K337" s="1353"/>
      <c r="L337" s="1353"/>
      <c r="M337" s="1353"/>
      <c r="N337" s="1353"/>
      <c r="O337" s="1353"/>
      <c r="P337" s="1353"/>
      <c r="Q337" s="1353"/>
      <c r="R337" s="1353"/>
      <c r="T337" s="3" t="s">
        <v>75</v>
      </c>
      <c r="V337" s="3"/>
      <c r="W337" s="3"/>
      <c r="X337" s="3"/>
      <c r="Y337" s="3"/>
      <c r="AA337" s="1473" t="s">
        <v>2674</v>
      </c>
      <c r="AB337" s="1353"/>
      <c r="AC337" s="1353"/>
      <c r="AD337" s="1353"/>
      <c r="AE337" s="1353"/>
      <c r="AF337" s="1353"/>
      <c r="AG337" s="1353"/>
      <c r="AH337" s="1353"/>
      <c r="AI337" s="1353"/>
      <c r="AJ337" s="1353"/>
      <c r="AK337" s="1353"/>
    </row>
    <row r="338" spans="1:66" ht="12.95" customHeight="1">
      <c r="B338" s="3" t="s">
        <v>87</v>
      </c>
      <c r="C338" s="3"/>
      <c r="D338" s="3"/>
      <c r="E338" s="3"/>
      <c r="F338" s="3"/>
      <c r="G338" s="3"/>
      <c r="H338" s="1353" t="s">
        <v>2699</v>
      </c>
      <c r="I338" s="1353"/>
      <c r="J338" s="1353"/>
      <c r="K338" s="1353"/>
      <c r="L338" s="1353"/>
      <c r="M338" s="1353"/>
      <c r="N338" s="1353"/>
      <c r="O338" s="1353"/>
      <c r="P338" s="1353"/>
      <c r="Q338" s="1353"/>
      <c r="R338" s="1353"/>
      <c r="T338" s="3" t="s">
        <v>87</v>
      </c>
      <c r="V338" s="3"/>
      <c r="W338" s="3"/>
      <c r="X338" s="3"/>
      <c r="Y338" s="3"/>
      <c r="AA338" s="1473" t="s">
        <v>2694</v>
      </c>
      <c r="AB338" s="1353"/>
      <c r="AC338" s="1353"/>
      <c r="AD338" s="1353"/>
      <c r="AE338" s="1353"/>
      <c r="AF338" s="1353"/>
      <c r="AG338" s="1353"/>
      <c r="AH338" s="1353"/>
      <c r="AI338" s="1353"/>
      <c r="AJ338" s="1353"/>
      <c r="AK338" s="1353"/>
    </row>
    <row r="339" spans="1:66" ht="12.95" customHeight="1">
      <c r="B339" s="3" t="s">
        <v>88</v>
      </c>
      <c r="C339" s="3"/>
      <c r="D339" s="3"/>
      <c r="E339" s="3"/>
      <c r="F339" s="3"/>
      <c r="G339" s="3"/>
      <c r="H339" s="1790" t="s">
        <v>2700</v>
      </c>
      <c r="I339" s="1428"/>
      <c r="J339" s="1428"/>
      <c r="K339" s="1428"/>
      <c r="L339" s="1428"/>
      <c r="M339" s="1428"/>
      <c r="N339" s="4" t="s">
        <v>206</v>
      </c>
      <c r="O339" s="4"/>
      <c r="P339" s="1422"/>
      <c r="Q339" s="1422"/>
      <c r="R339" s="1422"/>
      <c r="S339" s="3"/>
      <c r="T339" s="3" t="s">
        <v>88</v>
      </c>
      <c r="V339" s="3"/>
      <c r="W339" s="3"/>
      <c r="X339" s="3"/>
      <c r="Y339" s="3"/>
      <c r="AA339" s="1790" t="s">
        <v>2695</v>
      </c>
      <c r="AB339" s="1428"/>
      <c r="AC339" s="1428"/>
      <c r="AD339" s="1428"/>
      <c r="AE339" s="1428"/>
      <c r="AF339" s="1428"/>
      <c r="AG339" s="4" t="s">
        <v>206</v>
      </c>
      <c r="AH339" s="4"/>
      <c r="AI339" s="1422"/>
      <c r="AJ339" s="1422"/>
      <c r="AK339" s="1422"/>
    </row>
    <row r="340" spans="1:66" ht="12.95" customHeight="1">
      <c r="B340" s="3" t="s">
        <v>89</v>
      </c>
      <c r="C340" s="3"/>
      <c r="D340" s="3"/>
      <c r="E340" s="3"/>
      <c r="F340" s="3"/>
      <c r="G340" s="3"/>
      <c r="H340" s="1348"/>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2.95" customHeight="1">
      <c r="B341" s="3" t="s">
        <v>76</v>
      </c>
      <c r="C341" s="3"/>
      <c r="D341" s="3"/>
      <c r="E341" s="3"/>
      <c r="F341" s="3"/>
      <c r="G341" s="3"/>
      <c r="H341" s="1353" t="s">
        <v>2701</v>
      </c>
      <c r="I341" s="1353"/>
      <c r="J341" s="1353"/>
      <c r="K341" s="1353"/>
      <c r="L341" s="1353"/>
      <c r="M341" s="1353"/>
      <c r="N341" s="1376"/>
      <c r="O341" s="1376"/>
      <c r="P341" s="1376"/>
      <c r="Q341" s="1376"/>
      <c r="R341" s="1376"/>
      <c r="S341" s="3"/>
      <c r="T341" s="3" t="s">
        <v>76</v>
      </c>
      <c r="V341" s="3"/>
      <c r="W341" s="3"/>
      <c r="X341" s="3"/>
      <c r="Y341" s="3"/>
      <c r="AA341" s="1473" t="s">
        <v>2696</v>
      </c>
      <c r="AB341" s="1353"/>
      <c r="AC341" s="1353"/>
      <c r="AD341" s="1353"/>
      <c r="AE341" s="1353"/>
      <c r="AF341" s="1353"/>
      <c r="AG341" s="1376"/>
      <c r="AH341" s="1376"/>
      <c r="AI341" s="1376"/>
      <c r="AJ341" s="1376"/>
      <c r="AK341" s="137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21" t="s">
        <v>2671</v>
      </c>
      <c r="Q343" s="1376"/>
      <c r="R343" s="1376"/>
      <c r="S343" s="1376"/>
      <c r="T343" s="1376"/>
      <c r="U343" s="1376"/>
      <c r="V343" s="1376"/>
      <c r="W343" s="1376"/>
      <c r="X343" s="1376"/>
      <c r="Y343" s="1376"/>
      <c r="Z343" s="1376"/>
      <c r="AA343" s="1376"/>
      <c r="AB343" s="1376"/>
      <c r="AC343" s="1376"/>
      <c r="AD343" s="1376"/>
      <c r="AE343" s="1376"/>
      <c r="BN343" t="s">
        <v>670</v>
      </c>
    </row>
    <row r="344" spans="1:66" ht="12.95" customHeight="1">
      <c r="B344" s="4"/>
      <c r="C344" s="4"/>
      <c r="D344" s="4"/>
      <c r="E344" s="4"/>
      <c r="F344" s="4"/>
      <c r="I344" s="4" t="s">
        <v>472</v>
      </c>
      <c r="P344" s="1353"/>
      <c r="Q344" s="1353"/>
      <c r="R344" s="1353"/>
      <c r="S344" s="1353"/>
      <c r="T344" s="1353"/>
      <c r="U344" s="1353"/>
      <c r="V344" s="1353"/>
      <c r="W344" s="1353"/>
      <c r="X344" s="1353"/>
      <c r="Y344" s="1353"/>
      <c r="Z344" s="1353"/>
      <c r="AA344" s="1353"/>
      <c r="AB344" s="1353"/>
      <c r="AC344" s="1353"/>
      <c r="AD344" s="1353"/>
      <c r="AE344" s="1353"/>
      <c r="BN344" t="s">
        <v>546</v>
      </c>
    </row>
    <row r="345" spans="1:66" ht="12.95" customHeight="1">
      <c r="B345" s="4"/>
      <c r="C345" s="4"/>
      <c r="D345" s="4"/>
      <c r="E345" s="4"/>
      <c r="F345" s="4"/>
      <c r="I345" s="4" t="s">
        <v>75</v>
      </c>
      <c r="P345" s="1353"/>
      <c r="Q345" s="1353"/>
      <c r="R345" s="1353"/>
      <c r="S345" s="1353"/>
      <c r="T345" s="1353"/>
      <c r="U345" s="1353"/>
      <c r="V345" s="1353"/>
      <c r="W345" s="1353"/>
      <c r="X345" s="1353"/>
      <c r="Y345" s="1353"/>
      <c r="Z345" s="1353"/>
      <c r="AA345" s="1353"/>
      <c r="AB345" s="1353"/>
      <c r="AC345" s="1353"/>
      <c r="AD345" s="1353"/>
      <c r="AE345" s="1353"/>
    </row>
    <row r="346" spans="1:66" ht="12.95" customHeight="1">
      <c r="B346" s="4"/>
      <c r="C346" s="4"/>
      <c r="D346" s="4"/>
      <c r="E346" s="4"/>
      <c r="F346" s="4"/>
      <c r="G346" s="4"/>
      <c r="I346" s="4" t="s">
        <v>87</v>
      </c>
      <c r="P346" s="1353"/>
      <c r="Q346" s="1353"/>
      <c r="R346" s="1353"/>
      <c r="S346" s="1353"/>
      <c r="T346" s="1353"/>
      <c r="U346" s="1353"/>
      <c r="V346" s="1353"/>
      <c r="W346" s="1353"/>
      <c r="X346" s="1353"/>
      <c r="Y346" s="1353"/>
      <c r="Z346" s="1353"/>
      <c r="AA346" s="1353"/>
      <c r="AB346" s="1353"/>
      <c r="AC346" s="1353"/>
      <c r="AD346" s="1353"/>
      <c r="AE346" s="1353"/>
    </row>
    <row r="347" spans="1:66" ht="12.95" customHeight="1">
      <c r="B347" s="4"/>
      <c r="C347" s="4"/>
      <c r="D347" s="4"/>
      <c r="E347" s="4"/>
      <c r="F347" s="4"/>
      <c r="G347" s="4"/>
      <c r="H347" s="301"/>
      <c r="I347" s="4" t="s">
        <v>88</v>
      </c>
      <c r="P347" s="1348"/>
      <c r="Q347" s="1348"/>
      <c r="R347" s="1348"/>
      <c r="S347" s="1348"/>
      <c r="T347" s="1348"/>
      <c r="U347" s="1348"/>
      <c r="V347" s="1348"/>
      <c r="W347" s="1348"/>
      <c r="X347" s="1348"/>
      <c r="Y347" s="1348"/>
      <c r="Z347" s="1348"/>
      <c r="AA347" s="4" t="s">
        <v>206</v>
      </c>
      <c r="AB347" s="4"/>
      <c r="AC347" s="1441"/>
      <c r="AD347" s="1441"/>
      <c r="AE347" s="1441"/>
      <c r="AF347" s="301"/>
      <c r="AG347" s="4"/>
      <c r="AH347" s="4"/>
      <c r="AI347" s="4"/>
      <c r="AJ347" s="4"/>
      <c r="AK347" s="4"/>
    </row>
    <row r="348" spans="1:66" ht="12.95" customHeight="1">
      <c r="B348" s="4"/>
      <c r="C348" s="4"/>
      <c r="D348" s="4"/>
      <c r="E348" s="4"/>
      <c r="F348" s="4"/>
      <c r="G348" s="4"/>
      <c r="H348" s="301"/>
      <c r="I348" s="4" t="s">
        <v>89</v>
      </c>
      <c r="P348" s="1348"/>
      <c r="Q348" s="1348"/>
      <c r="R348" s="1348"/>
      <c r="S348" s="1348"/>
      <c r="T348" s="1348"/>
      <c r="U348" s="1348"/>
      <c r="V348" s="1348"/>
      <c r="W348" s="1348"/>
      <c r="X348" s="1348"/>
      <c r="Y348" s="1348"/>
      <c r="Z348" s="1348"/>
      <c r="AF348" s="301"/>
      <c r="AG348" s="4"/>
      <c r="AH348" s="4"/>
      <c r="AI348" s="35"/>
      <c r="AJ348" s="35"/>
      <c r="AK348" s="35"/>
    </row>
    <row r="349" spans="1:66" ht="12.95" customHeight="1">
      <c r="B349" s="4"/>
      <c r="C349" s="4"/>
      <c r="D349" s="4"/>
      <c r="E349" s="4"/>
      <c r="F349" s="4"/>
      <c r="G349" s="4"/>
      <c r="I349" s="4" t="s">
        <v>76</v>
      </c>
      <c r="P349" s="1376"/>
      <c r="Q349" s="1376"/>
      <c r="R349" s="1376"/>
      <c r="S349" s="1376"/>
      <c r="T349" s="1376"/>
      <c r="U349" s="1376"/>
      <c r="V349" s="1376"/>
      <c r="W349" s="1376"/>
      <c r="X349" s="1376"/>
      <c r="Y349" s="1376"/>
      <c r="Z349" s="1376"/>
      <c r="AA349" s="1376"/>
      <c r="AB349" s="1376"/>
      <c r="AC349" s="1376"/>
      <c r="AD349" s="1376"/>
      <c r="AE349" s="1376"/>
    </row>
    <row r="350" spans="1:66" ht="12.95" customHeight="1">
      <c r="T350" s="8"/>
      <c r="U350" s="8"/>
      <c r="V350" s="8"/>
      <c r="W350" s="8"/>
      <c r="X350" s="8"/>
      <c r="Y350" s="8"/>
      <c r="Z350" s="8"/>
      <c r="AU350" s="95"/>
      <c r="AV350" s="95"/>
      <c r="AW350" s="95"/>
      <c r="AX350" s="95"/>
      <c r="AY350" s="95"/>
    </row>
    <row r="351" spans="1:66" ht="12.95" customHeight="1">
      <c r="A351" s="1427" t="s">
        <v>543</v>
      </c>
      <c r="B351" s="1427"/>
      <c r="C351" s="1427"/>
      <c r="D351" s="1427"/>
      <c r="E351" s="1427"/>
      <c r="F351" s="1427"/>
      <c r="G351" s="1427"/>
      <c r="H351" s="1427"/>
      <c r="I351" s="1427"/>
      <c r="J351" s="1427"/>
      <c r="K351" s="1427"/>
      <c r="L351" s="1427"/>
      <c r="M351" s="1427"/>
      <c r="N351" s="1427"/>
      <c r="O351" s="1427"/>
      <c r="P351" s="1427"/>
      <c r="Q351" s="1427"/>
      <c r="R351" s="1427"/>
      <c r="S351" s="1427"/>
      <c r="T351" s="1427"/>
      <c r="U351" s="1427"/>
      <c r="V351" s="1427"/>
      <c r="W351" s="1427"/>
      <c r="X351" s="1427"/>
      <c r="Y351" s="1427"/>
      <c r="Z351" s="1427"/>
      <c r="AA351" s="1427"/>
      <c r="AB351" s="1427"/>
      <c r="AC351" s="1427"/>
      <c r="AD351" s="1427"/>
      <c r="AE351" s="1427"/>
      <c r="AF351" s="1427"/>
      <c r="AG351" s="1427"/>
      <c r="AH351" s="1427"/>
      <c r="AI351" s="1427"/>
      <c r="AJ351" s="1427"/>
      <c r="AK351" s="1427"/>
      <c r="AL351" s="1427"/>
      <c r="AM351" s="1427"/>
      <c r="AN351" s="1427"/>
      <c r="AO351" s="1427"/>
      <c r="AP351" s="1427"/>
      <c r="AQ351" s="1427"/>
      <c r="AR351" s="1427"/>
      <c r="AS351" s="1427"/>
      <c r="AT351" s="1427"/>
      <c r="AU351" s="95"/>
      <c r="AV351" s="95"/>
      <c r="AW351" s="95"/>
      <c r="AX351" s="95"/>
      <c r="AY351" s="95"/>
    </row>
    <row r="352" spans="1:66" ht="12.95" customHeight="1">
      <c r="A352" s="1427"/>
      <c r="B352" s="1427"/>
      <c r="C352" s="1427"/>
      <c r="D352" s="1427"/>
      <c r="E352" s="1427"/>
      <c r="F352" s="1427"/>
      <c r="G352" s="1427"/>
      <c r="H352" s="1427"/>
      <c r="I352" s="1427"/>
      <c r="J352" s="1427"/>
      <c r="K352" s="1427"/>
      <c r="L352" s="1427"/>
      <c r="M352" s="1427"/>
      <c r="N352" s="1427"/>
      <c r="O352" s="1427"/>
      <c r="P352" s="1427"/>
      <c r="Q352" s="1427"/>
      <c r="R352" s="1427"/>
      <c r="S352" s="1427"/>
      <c r="T352" s="1427"/>
      <c r="U352" s="1427"/>
      <c r="V352" s="1427"/>
      <c r="W352" s="1427"/>
      <c r="X352" s="1427"/>
      <c r="Y352" s="1427"/>
      <c r="Z352" s="1427"/>
      <c r="AA352" s="1427"/>
      <c r="AB352" s="1427"/>
      <c r="AC352" s="1427"/>
      <c r="AD352" s="1427"/>
      <c r="AE352" s="1427"/>
      <c r="AF352" s="1427"/>
      <c r="AG352" s="1427"/>
      <c r="AH352" s="1427"/>
      <c r="AI352" s="1427"/>
      <c r="AJ352" s="1427"/>
      <c r="AK352" s="1427"/>
      <c r="AL352" s="1427"/>
      <c r="AM352" s="1427"/>
      <c r="AN352" s="1427"/>
      <c r="AO352" s="1427"/>
      <c r="AP352" s="1427"/>
      <c r="AQ352" s="1427"/>
      <c r="AR352" s="1427"/>
      <c r="AS352" s="1427"/>
      <c r="AT352" s="142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6" t="s">
        <v>546</v>
      </c>
      <c r="N355" s="1336"/>
      <c r="P355" t="s">
        <v>1651</v>
      </c>
      <c r="AJ355" s="1336" t="s">
        <v>670</v>
      </c>
      <c r="AK355" s="1336"/>
    </row>
    <row r="356" spans="1:46" ht="12.95" customHeight="1">
      <c r="D356" s="3" t="s">
        <v>1640</v>
      </c>
      <c r="M356" s="1336" t="s">
        <v>592</v>
      </c>
      <c r="N356" s="1336"/>
      <c r="P356" s="3" t="s">
        <v>1720</v>
      </c>
      <c r="AJ356" s="1462">
        <v>0</v>
      </c>
      <c r="AK356" s="1462"/>
    </row>
    <row r="357" spans="1:46" ht="12.95" customHeight="1">
      <c r="D357" s="3" t="s">
        <v>705</v>
      </c>
      <c r="M357" s="1336" t="s">
        <v>592</v>
      </c>
      <c r="N357" s="1336"/>
      <c r="P357" t="s">
        <v>1650</v>
      </c>
      <c r="AJ357" s="1336" t="s">
        <v>592</v>
      </c>
      <c r="AK357" s="1336"/>
    </row>
    <row r="358" spans="1:46" ht="12.95" customHeight="1">
      <c r="D358" s="3" t="s">
        <v>706</v>
      </c>
      <c r="M358" s="1336" t="s">
        <v>592</v>
      </c>
      <c r="N358" s="1336"/>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6" t="s">
        <v>592</v>
      </c>
      <c r="O363" s="1336"/>
      <c r="P363" s="40"/>
      <c r="Q363" s="40"/>
      <c r="R363" s="40"/>
      <c r="S363" s="40"/>
      <c r="T363" s="40"/>
      <c r="U363" s="40"/>
      <c r="V363" s="40"/>
      <c r="W363" s="40"/>
      <c r="X363" s="40"/>
      <c r="Y363" s="40"/>
      <c r="Z363" s="40"/>
      <c r="AC363" s="40"/>
      <c r="AD363" s="40"/>
      <c r="AE363" s="40"/>
    </row>
    <row r="364" spans="1:46" ht="12.95" customHeight="1">
      <c r="E364" t="s">
        <v>370</v>
      </c>
      <c r="Y364" s="1336" t="s">
        <v>592</v>
      </c>
      <c r="Z364" s="1336"/>
    </row>
    <row r="365" spans="1:46" ht="12.95" customHeight="1">
      <c r="D365" s="4" t="s">
        <v>979</v>
      </c>
      <c r="Q365" s="1376" t="s">
        <v>592</v>
      </c>
      <c r="R365" s="1376"/>
      <c r="S365" s="1376"/>
      <c r="T365" s="1376"/>
      <c r="U365" s="1376"/>
      <c r="V365" s="1376"/>
      <c r="W365" s="1376"/>
      <c r="X365" s="1376"/>
      <c r="Y365" s="1376"/>
      <c r="Z365" s="1376"/>
      <c r="AA365" s="1376"/>
      <c r="AB365" s="1376"/>
      <c r="AC365" s="1376"/>
      <c r="AD365" s="1376"/>
      <c r="AE365" s="1376"/>
      <c r="AF365" s="1376"/>
      <c r="AG365" s="137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6" t="s">
        <v>592</v>
      </c>
      <c r="K367" s="1336"/>
      <c r="L367" s="40"/>
      <c r="M367" s="40"/>
      <c r="N367" s="40"/>
      <c r="O367" s="40"/>
      <c r="P367" s="40"/>
      <c r="Q367" s="40"/>
      <c r="R367" s="40"/>
      <c r="S367" s="40"/>
      <c r="T367" s="40"/>
      <c r="U367" s="40"/>
      <c r="V367" s="40"/>
      <c r="W367" s="40"/>
      <c r="X367" s="40"/>
      <c r="Y367" s="40"/>
      <c r="Z367" s="40"/>
      <c r="AC367" s="40"/>
      <c r="AD367" s="40"/>
      <c r="AE367" s="40"/>
    </row>
    <row r="368" spans="1:46" ht="12.95" customHeight="1">
      <c r="E368" s="1420" t="s">
        <v>707</v>
      </c>
      <c r="F368" s="1420"/>
      <c r="G368" s="1420"/>
      <c r="H368" s="1420"/>
      <c r="I368" s="1420"/>
      <c r="J368" s="1420"/>
      <c r="K368" s="1420"/>
      <c r="L368" s="1420"/>
      <c r="M368" s="1420"/>
      <c r="N368" s="1420"/>
      <c r="O368" s="1420"/>
      <c r="P368" s="1420"/>
      <c r="Q368" s="1420"/>
      <c r="R368" s="1420"/>
      <c r="S368" s="1420"/>
      <c r="T368" s="1420"/>
      <c r="U368" s="1420"/>
      <c r="V368" s="1420"/>
      <c r="W368" s="1420"/>
      <c r="X368" s="1420"/>
      <c r="Y368" s="1420"/>
      <c r="Z368" s="1420"/>
      <c r="AA368" s="1420"/>
      <c r="AB368" s="1420"/>
      <c r="AC368" s="1420"/>
      <c r="AD368" s="1420"/>
      <c r="AE368" s="1420"/>
      <c r="AF368" s="1420"/>
      <c r="AG368" s="1420"/>
      <c r="AH368" s="1420"/>
    </row>
    <row r="369" spans="1:34" ht="12.95" customHeight="1">
      <c r="E369" s="1420"/>
      <c r="F369" s="1420"/>
      <c r="G369" s="1420"/>
      <c r="H369" s="1420"/>
      <c r="I369" s="1420"/>
      <c r="J369" s="1420"/>
      <c r="K369" s="1420"/>
      <c r="L369" s="1420"/>
      <c r="M369" s="1420"/>
      <c r="N369" s="1420"/>
      <c r="O369" s="1420"/>
      <c r="P369" s="1420"/>
      <c r="Q369" s="1420"/>
      <c r="R369" s="1420"/>
      <c r="S369" s="1420"/>
      <c r="T369" s="1420"/>
      <c r="U369" s="1420"/>
      <c r="V369" s="1420"/>
      <c r="W369" s="1420"/>
      <c r="X369" s="1420"/>
      <c r="Y369" s="1420"/>
      <c r="Z369" s="1420"/>
      <c r="AA369" s="1420"/>
      <c r="AB369" s="1420"/>
      <c r="AC369" s="1420"/>
      <c r="AD369" s="1420"/>
      <c r="AE369" s="1420"/>
      <c r="AF369" s="1420"/>
      <c r="AG369" s="1420"/>
      <c r="AH369" s="1420"/>
    </row>
    <row r="370" spans="1:34" ht="12.95" customHeight="1">
      <c r="E370" s="4" t="s">
        <v>449</v>
      </c>
      <c r="F370" s="4"/>
      <c r="G370" s="4"/>
      <c r="H370" s="4"/>
      <c r="I370" s="4"/>
      <c r="J370" s="4"/>
      <c r="K370" s="4"/>
      <c r="L370" s="4"/>
      <c r="N370" s="1792" t="s">
        <v>592</v>
      </c>
      <c r="O370" s="1457"/>
      <c r="P370" s="1457"/>
      <c r="Q370" s="1457"/>
      <c r="R370" s="4"/>
      <c r="U370" s="4" t="s">
        <v>450</v>
      </c>
      <c r="V370" s="4"/>
      <c r="W370" s="4"/>
      <c r="X370" s="4"/>
      <c r="Y370" s="4"/>
      <c r="Z370" s="4"/>
      <c r="AA370" s="4"/>
      <c r="AB370" s="4"/>
      <c r="AC370" s="1792" t="s">
        <v>592</v>
      </c>
      <c r="AD370" s="1457"/>
      <c r="AE370" s="1457"/>
      <c r="AF370" s="1457"/>
    </row>
    <row r="371" spans="1:34" ht="12.95" customHeight="1">
      <c r="E371" s="4" t="s">
        <v>451</v>
      </c>
      <c r="F371" s="4"/>
      <c r="G371" s="4"/>
      <c r="H371" s="4"/>
      <c r="I371" s="4"/>
      <c r="J371" s="4"/>
      <c r="K371" s="4"/>
      <c r="L371" s="4"/>
      <c r="N371" s="1792" t="s">
        <v>592</v>
      </c>
      <c r="O371" s="1457"/>
      <c r="P371" s="1457"/>
      <c r="Q371" s="1457"/>
      <c r="R371" s="4"/>
      <c r="U371" s="4" t="s">
        <v>0</v>
      </c>
      <c r="V371" s="4"/>
      <c r="W371" s="4"/>
      <c r="X371" s="4"/>
      <c r="Y371" s="4"/>
      <c r="Z371" s="4"/>
      <c r="AA371" s="4"/>
      <c r="AB371" s="4"/>
      <c r="AC371" s="1792" t="s">
        <v>592</v>
      </c>
      <c r="AD371" s="1457"/>
      <c r="AE371" s="1457"/>
      <c r="AF371" s="1457"/>
    </row>
    <row r="372" spans="1:34" ht="12.95" customHeight="1">
      <c r="E372" s="4" t="s">
        <v>1</v>
      </c>
      <c r="F372" s="4"/>
      <c r="G372" s="4"/>
      <c r="H372" s="4"/>
      <c r="I372" s="4"/>
      <c r="J372" s="4"/>
      <c r="K372" s="4"/>
      <c r="L372" s="4"/>
      <c r="N372" s="1792" t="s">
        <v>592</v>
      </c>
      <c r="O372" s="1457"/>
      <c r="P372" s="1457"/>
      <c r="Q372" s="1457"/>
      <c r="R372" s="4"/>
      <c r="V372" s="4"/>
      <c r="W372" s="4"/>
      <c r="X372" s="4"/>
      <c r="Y372" s="4"/>
      <c r="Z372" s="4"/>
      <c r="AA372" s="4"/>
      <c r="AB372" s="4"/>
    </row>
    <row r="373" spans="1:34" ht="12.95" customHeight="1">
      <c r="E373" s="4" t="s">
        <v>2</v>
      </c>
      <c r="F373" s="4"/>
      <c r="G373" s="4"/>
      <c r="H373" s="4"/>
      <c r="I373" s="4"/>
      <c r="J373" s="4"/>
      <c r="K373" s="4"/>
      <c r="L373" s="4"/>
      <c r="N373" s="1777" t="s">
        <v>592</v>
      </c>
      <c r="O373" s="1778"/>
      <c r="P373" s="1778"/>
      <c r="Q373" s="1778"/>
      <c r="R373" s="1778"/>
      <c r="S373" s="1778"/>
      <c r="T373" s="1778"/>
      <c r="U373" s="1778"/>
      <c r="V373" s="1778"/>
      <c r="W373" s="1778"/>
      <c r="X373" s="1778"/>
      <c r="Y373" s="1778"/>
      <c r="Z373" s="1778"/>
      <c r="AA373" s="1778"/>
      <c r="AB373" s="1778"/>
      <c r="AC373" s="1778"/>
      <c r="AD373" s="1778"/>
      <c r="AE373" s="1778"/>
      <c r="AF373" s="1778"/>
    </row>
    <row r="374" spans="1:34" ht="12.95" customHeight="1">
      <c r="E374" s="4"/>
      <c r="F374" s="4"/>
      <c r="G374" s="4"/>
      <c r="H374" s="4"/>
      <c r="I374" s="4"/>
      <c r="J374" s="4"/>
      <c r="K374" s="4"/>
      <c r="L374" s="4"/>
      <c r="N374" s="1779"/>
      <c r="O374" s="1779"/>
      <c r="P374" s="1779"/>
      <c r="Q374" s="1779"/>
      <c r="R374" s="1779"/>
      <c r="S374" s="1779"/>
      <c r="T374" s="1779"/>
      <c r="U374" s="1779"/>
      <c r="V374" s="1779"/>
      <c r="W374" s="1779"/>
      <c r="X374" s="1779"/>
      <c r="Y374" s="1779"/>
      <c r="Z374" s="1779"/>
      <c r="AA374" s="1779"/>
      <c r="AB374" s="1779"/>
      <c r="AC374" s="1779"/>
      <c r="AD374" s="1779"/>
      <c r="AE374" s="1779"/>
      <c r="AF374" s="1779"/>
    </row>
    <row r="375" spans="1:34" ht="12.95" customHeight="1">
      <c r="C375" s="511"/>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781" t="s">
        <v>592</v>
      </c>
      <c r="T377" s="1782"/>
      <c r="U377" s="1" t="s">
        <v>306</v>
      </c>
      <c r="V377" s="1781" t="s">
        <v>592</v>
      </c>
      <c r="W377" s="1782"/>
      <c r="Y377" t="s">
        <v>2081</v>
      </c>
      <c r="AC377" s="27" t="s">
        <v>305</v>
      </c>
      <c r="AD377" s="1781" t="s">
        <v>592</v>
      </c>
      <c r="AE377" s="1782"/>
      <c r="AF377" s="1" t="s">
        <v>306</v>
      </c>
      <c r="AG377" s="1781" t="s">
        <v>592</v>
      </c>
      <c r="AH377" s="1782"/>
    </row>
    <row r="378" spans="1:34" ht="12.95" customHeight="1">
      <c r="E378" s="4" t="s">
        <v>988</v>
      </c>
      <c r="F378" s="4"/>
      <c r="G378" s="4"/>
      <c r="H378" s="4"/>
      <c r="I378" s="4"/>
      <c r="J378" s="4"/>
      <c r="K378" s="4"/>
      <c r="L378" s="4"/>
      <c r="N378" s="1781" t="s">
        <v>592</v>
      </c>
      <c r="O378" s="1782"/>
      <c r="P378" s="1782"/>
    </row>
    <row r="379" spans="1:34" ht="12.95" customHeight="1">
      <c r="E379" s="204" t="s">
        <v>2087</v>
      </c>
      <c r="F379" s="4"/>
      <c r="G379" s="4"/>
      <c r="H379" s="4"/>
      <c r="I379" s="4"/>
      <c r="J379" s="4"/>
      <c r="K379" s="4"/>
      <c r="L379" s="4"/>
      <c r="AG379" s="1808" t="s">
        <v>592</v>
      </c>
      <c r="AH379" s="1808"/>
    </row>
    <row r="380" spans="1:34" ht="12.95" customHeight="1">
      <c r="E380" s="4"/>
      <c r="F380" s="4"/>
      <c r="G380" s="4" t="s">
        <v>2088</v>
      </c>
      <c r="H380" s="4"/>
      <c r="I380" s="4"/>
      <c r="J380" s="4"/>
      <c r="K380" s="4"/>
      <c r="L380" s="4"/>
      <c r="AG380" s="1808" t="s">
        <v>592</v>
      </c>
      <c r="AH380" s="1808"/>
    </row>
    <row r="381" spans="1:34" ht="12.95" customHeight="1">
      <c r="E381" s="4"/>
      <c r="F381" s="4"/>
      <c r="G381" s="319" t="s">
        <v>989</v>
      </c>
      <c r="H381" s="4"/>
      <c r="I381" s="4"/>
      <c r="J381" s="4"/>
      <c r="K381" s="4"/>
      <c r="L381" s="4"/>
      <c r="V381" s="1336" t="s">
        <v>592</v>
      </c>
      <c r="W381" s="1336"/>
      <c r="Y381" s="22" t="s">
        <v>981</v>
      </c>
    </row>
    <row r="382" spans="1:34" ht="12.95" customHeight="1">
      <c r="E382" s="4" t="s">
        <v>982</v>
      </c>
      <c r="F382" s="4"/>
      <c r="G382" s="4"/>
      <c r="H382" s="4"/>
      <c r="I382" s="4"/>
      <c r="J382" s="4"/>
      <c r="K382" s="4"/>
      <c r="L382" s="4"/>
      <c r="V382" s="1336" t="s">
        <v>592</v>
      </c>
      <c r="W382" s="1336"/>
      <c r="Y382" s="4" t="s">
        <v>983</v>
      </c>
    </row>
    <row r="383" spans="1:34" ht="12.95" customHeight="1"/>
    <row r="384" spans="1:34" ht="12.95" customHeight="1">
      <c r="A384" s="2" t="s">
        <v>78</v>
      </c>
      <c r="B384" s="2"/>
    </row>
    <row r="385" spans="4:36" ht="12.95" customHeight="1">
      <c r="D385" t="s">
        <v>428</v>
      </c>
      <c r="J385" s="1421" t="s">
        <v>592</v>
      </c>
      <c r="K385" s="1376"/>
      <c r="L385" s="1376"/>
      <c r="M385" s="1376"/>
      <c r="N385" s="1376"/>
      <c r="O385" s="1376"/>
      <c r="P385" s="1376"/>
      <c r="Q385" s="1376"/>
      <c r="R385" s="1376"/>
      <c r="S385" s="1376"/>
      <c r="T385" s="1376"/>
      <c r="U385" s="1376"/>
      <c r="V385" s="8" t="s">
        <v>83</v>
      </c>
      <c r="W385" s="8"/>
      <c r="X385" s="8"/>
      <c r="Y385" s="8"/>
      <c r="Z385" s="8"/>
      <c r="AA385" s="8"/>
      <c r="AB385" s="8"/>
      <c r="AC385" s="1421" t="s">
        <v>592</v>
      </c>
      <c r="AD385" s="1376"/>
      <c r="AE385" s="1376"/>
      <c r="AF385" s="1376"/>
      <c r="AG385" s="1376"/>
      <c r="AH385" s="1376"/>
      <c r="AI385" s="1376"/>
      <c r="AJ385" s="1376"/>
    </row>
    <row r="386" spans="4:36" ht="12.95" customHeight="1">
      <c r="D386" s="3" t="s">
        <v>1183</v>
      </c>
      <c r="J386" s="1473" t="s">
        <v>592</v>
      </c>
      <c r="K386" s="1353"/>
      <c r="L386" s="1353"/>
      <c r="M386" s="1353"/>
      <c r="N386" s="1353"/>
      <c r="O386" s="1353"/>
      <c r="P386" s="1353"/>
      <c r="Q386" s="1353"/>
      <c r="R386" s="1353"/>
      <c r="S386" s="1353"/>
      <c r="T386" s="1353"/>
      <c r="U386" s="1353"/>
      <c r="V386" s="3" t="s">
        <v>1183</v>
      </c>
      <c r="W386" s="8"/>
      <c r="X386" s="8"/>
      <c r="Y386" s="8"/>
      <c r="Z386" s="8"/>
      <c r="AA386" s="8"/>
      <c r="AB386" s="8"/>
      <c r="AC386" s="1421" t="s">
        <v>592</v>
      </c>
      <c r="AD386" s="1376"/>
      <c r="AE386" s="1376"/>
      <c r="AF386" s="1376"/>
      <c r="AG386" s="1376"/>
      <c r="AH386" s="1376"/>
      <c r="AI386" s="1376"/>
      <c r="AJ386" s="1376"/>
    </row>
    <row r="387" spans="4:36" ht="12.95" customHeight="1">
      <c r="D387" s="3" t="s">
        <v>442</v>
      </c>
      <c r="J387" s="1473" t="s">
        <v>592</v>
      </c>
      <c r="K387" s="1353"/>
      <c r="L387" s="1353"/>
      <c r="M387" s="1353"/>
      <c r="N387" s="1353"/>
      <c r="O387" s="1353"/>
      <c r="P387" s="1353"/>
      <c r="Q387" s="1353"/>
      <c r="R387" s="1353"/>
      <c r="S387" s="1353"/>
      <c r="T387" s="1353"/>
      <c r="U387" s="1353"/>
      <c r="V387" s="3" t="s">
        <v>442</v>
      </c>
      <c r="W387" s="8"/>
      <c r="X387" s="8"/>
      <c r="Y387" s="8"/>
      <c r="Z387" s="8"/>
      <c r="AA387" s="8"/>
      <c r="AB387" s="8"/>
      <c r="AC387" s="1421" t="s">
        <v>592</v>
      </c>
      <c r="AD387" s="1376"/>
      <c r="AE387" s="1376"/>
      <c r="AF387" s="1376"/>
      <c r="AG387" s="1376"/>
      <c r="AH387" s="1376"/>
      <c r="AI387" s="1376"/>
      <c r="AJ387" s="1376"/>
    </row>
    <row r="388" spans="4:36" ht="12.95" customHeight="1">
      <c r="D388" t="s">
        <v>1179</v>
      </c>
      <c r="J388" s="1842" t="s">
        <v>592</v>
      </c>
      <c r="K388" s="1407"/>
      <c r="L388" s="1407"/>
      <c r="M388" s="1407"/>
      <c r="N388" s="1407"/>
      <c r="O388" s="1407"/>
      <c r="P388" s="1407"/>
      <c r="Q388" s="1407"/>
      <c r="R388" s="1407"/>
      <c r="S388" s="1407"/>
      <c r="T388" s="1407"/>
      <c r="U388" s="1407"/>
      <c r="V388" s="1376"/>
      <c r="W388" s="1376"/>
      <c r="X388" s="1376"/>
      <c r="Y388" s="1376"/>
      <c r="Z388" s="1376"/>
      <c r="AA388" s="1376"/>
      <c r="AB388" s="1376"/>
      <c r="AC388" s="1376"/>
      <c r="AD388" s="1376"/>
      <c r="AE388" s="1376"/>
      <c r="AF388" s="1376"/>
      <c r="AG388" s="1376"/>
      <c r="AH388" s="1376"/>
      <c r="AI388" s="1376"/>
      <c r="AJ388" s="1376"/>
    </row>
    <row r="389" spans="4:36" ht="12.95" customHeight="1">
      <c r="D389" t="s">
        <v>4</v>
      </c>
      <c r="Q389" s="1784" t="s">
        <v>592</v>
      </c>
      <c r="R389" s="1785"/>
      <c r="S389" s="1785"/>
      <c r="T389" s="1785"/>
      <c r="U389" s="1785"/>
      <c r="V389" t="s">
        <v>309</v>
      </c>
      <c r="AI389" s="1336" t="s">
        <v>670</v>
      </c>
      <c r="AJ389" s="1336"/>
    </row>
    <row r="390" spans="4:36" ht="12.95" customHeight="1">
      <c r="D390" t="s">
        <v>5</v>
      </c>
      <c r="Q390" s="1784" t="s">
        <v>592</v>
      </c>
      <c r="R390" s="1837"/>
      <c r="S390" s="1837"/>
      <c r="T390" s="1837"/>
      <c r="U390" s="1837"/>
      <c r="W390" s="21" t="s">
        <v>74</v>
      </c>
      <c r="AG390" s="1826"/>
      <c r="AH390" s="1826"/>
      <c r="AI390" s="1826"/>
      <c r="AJ390" s="1826"/>
    </row>
    <row r="391" spans="4:36" ht="12.95" customHeight="1">
      <c r="D391" t="s">
        <v>427</v>
      </c>
      <c r="Q391" s="1549" t="s">
        <v>592</v>
      </c>
      <c r="R391" s="1854"/>
      <c r="S391" s="1854"/>
      <c r="T391" s="1854"/>
      <c r="U391" s="1854"/>
      <c r="V391" s="3" t="s">
        <v>1182</v>
      </c>
      <c r="AG391" s="1835" t="s">
        <v>592</v>
      </c>
      <c r="AH391" s="1836"/>
      <c r="AI391" s="1836"/>
      <c r="AJ391" s="1836"/>
    </row>
    <row r="392" spans="4:36" ht="12.95" customHeight="1">
      <c r="D392" t="s">
        <v>88</v>
      </c>
      <c r="I392" s="1428"/>
      <c r="J392" s="1428"/>
      <c r="K392" s="1428"/>
      <c r="L392" s="1428"/>
      <c r="M392" s="1428"/>
      <c r="N392" s="1428"/>
      <c r="Q392" s="4" t="s">
        <v>206</v>
      </c>
      <c r="S392" s="1853"/>
      <c r="T392" s="1853"/>
      <c r="U392" s="1853"/>
      <c r="V392" t="s">
        <v>73</v>
      </c>
      <c r="AI392" s="1336" t="s">
        <v>670</v>
      </c>
      <c r="AJ392" s="1336"/>
    </row>
    <row r="393" spans="4:36" ht="12.95" customHeight="1">
      <c r="D393" t="s">
        <v>310</v>
      </c>
      <c r="Q393" s="1413">
        <v>0</v>
      </c>
      <c r="R393" s="1413"/>
      <c r="S393" s="1413"/>
      <c r="T393" s="1413"/>
      <c r="U393" s="1413"/>
      <c r="V393" t="s">
        <v>311</v>
      </c>
      <c r="AG393" s="1826">
        <v>0</v>
      </c>
      <c r="AH393" s="1826"/>
      <c r="AI393" s="1826"/>
      <c r="AJ393" s="1826"/>
    </row>
    <row r="394" spans="4:36" ht="12.95" customHeight="1">
      <c r="D394" t="s">
        <v>312</v>
      </c>
      <c r="Q394" s="1830" t="s">
        <v>592</v>
      </c>
      <c r="R394" s="1831"/>
      <c r="S394" s="1831"/>
      <c r="T394" s="1831"/>
      <c r="U394" s="1831"/>
      <c r="V394" t="s">
        <v>1164</v>
      </c>
      <c r="AG394" s="1826">
        <v>0</v>
      </c>
      <c r="AH394" s="1826"/>
      <c r="AI394" s="1826"/>
      <c r="AJ394" s="1826"/>
    </row>
    <row r="395" spans="4:36" ht="12.95" customHeight="1">
      <c r="D395" t="s">
        <v>1163</v>
      </c>
      <c r="AG395" s="1826">
        <v>0</v>
      </c>
      <c r="AH395" s="1826"/>
      <c r="AI395" s="1826"/>
      <c r="AJ395" s="1826"/>
    </row>
    <row r="396" spans="4:36" ht="12.95" customHeight="1">
      <c r="AG396" s="455"/>
      <c r="AH396" s="455"/>
      <c r="AI396" s="455"/>
      <c r="AJ396" s="455"/>
    </row>
    <row r="397" spans="4:36" ht="12.95" customHeight="1">
      <c r="D397" s="3" t="s">
        <v>2144</v>
      </c>
      <c r="AG397" s="455"/>
      <c r="AH397" s="455"/>
      <c r="AI397" s="1336" t="s">
        <v>670</v>
      </c>
      <c r="AJ397" s="1336"/>
    </row>
    <row r="398" spans="4:36" ht="12.95" customHeight="1">
      <c r="D398" s="3" t="s">
        <v>1668</v>
      </c>
      <c r="T398" s="1754" t="s">
        <v>592</v>
      </c>
      <c r="U398" s="1755"/>
      <c r="V398" s="1755"/>
      <c r="W398" s="1755"/>
      <c r="X398" s="1755"/>
      <c r="Y398" s="1755"/>
      <c r="Z398" s="1755"/>
      <c r="AA398" s="1755"/>
      <c r="AB398" s="1755"/>
      <c r="AC398" s="1755"/>
      <c r="AD398" s="1755"/>
      <c r="AE398" s="1755"/>
      <c r="AF398" s="1755"/>
      <c r="AG398" s="1755"/>
      <c r="AH398" s="1755"/>
      <c r="AI398" s="1755"/>
      <c r="AJ398" s="1755"/>
    </row>
    <row r="399" spans="4:36" ht="12.95" customHeight="1">
      <c r="D399" s="3" t="s">
        <v>1667</v>
      </c>
      <c r="T399" s="1754" t="s">
        <v>592</v>
      </c>
      <c r="U399" s="1755"/>
      <c r="V399" s="1755"/>
      <c r="W399" s="1755"/>
      <c r="X399" s="1755"/>
      <c r="Y399" s="1755"/>
      <c r="Z399" s="1755"/>
      <c r="AA399" s="1755"/>
      <c r="AB399" s="1755"/>
      <c r="AC399" s="1755"/>
      <c r="AD399" s="1755"/>
      <c r="AE399" s="1755"/>
      <c r="AF399" s="1755"/>
      <c r="AG399" s="1755"/>
      <c r="AH399" s="1755"/>
      <c r="AI399" s="1755"/>
      <c r="AJ399" s="1755"/>
    </row>
    <row r="400" spans="4:36" ht="12.95" customHeight="1">
      <c r="AG400" s="455"/>
      <c r="AH400" s="455"/>
      <c r="AI400" s="455"/>
      <c r="AJ400" s="455"/>
    </row>
    <row r="401" spans="1:36" ht="12.95" customHeight="1">
      <c r="D401" s="3" t="s">
        <v>1661</v>
      </c>
      <c r="S401" s="1755" t="s">
        <v>546</v>
      </c>
      <c r="T401" s="1755"/>
      <c r="U401" s="1755"/>
      <c r="V401" t="s">
        <v>1662</v>
      </c>
      <c r="AG401" s="1855">
        <v>75</v>
      </c>
      <c r="AH401" s="1855"/>
      <c r="AI401" s="1855"/>
      <c r="AJ401" s="1855"/>
    </row>
    <row r="402" spans="1:36" ht="12.95" customHeight="1">
      <c r="D402" s="3" t="s">
        <v>1659</v>
      </c>
      <c r="S402" s="1755" t="s">
        <v>546</v>
      </c>
      <c r="T402" s="1755"/>
      <c r="U402" s="1755"/>
      <c r="V402" t="s">
        <v>1664</v>
      </c>
      <c r="AE402" s="1834">
        <v>10000</v>
      </c>
      <c r="AF402" s="1834"/>
      <c r="AG402" s="1834"/>
      <c r="AH402" s="1834"/>
      <c r="AI402" s="1834"/>
      <c r="AJ402" s="1834"/>
    </row>
    <row r="403" spans="1:36" ht="12.95" customHeight="1">
      <c r="D403" s="3" t="s">
        <v>1660</v>
      </c>
      <c r="K403" s="1812" t="s">
        <v>592</v>
      </c>
      <c r="L403" s="1812"/>
      <c r="M403" s="1812"/>
      <c r="N403" s="1812"/>
      <c r="O403" s="1812"/>
      <c r="P403" s="1812"/>
      <c r="Q403" s="1812"/>
      <c r="R403" s="1812"/>
      <c r="S403" s="1812"/>
      <c r="T403" s="1812"/>
      <c r="U403" s="1812"/>
      <c r="V403" s="1812"/>
      <c r="W403" s="1812"/>
      <c r="X403" s="1812"/>
      <c r="Y403" s="1812"/>
      <c r="Z403" s="1812"/>
      <c r="AA403" s="1812"/>
      <c r="AB403" s="1812"/>
      <c r="AC403" s="1812"/>
      <c r="AD403" s="1812"/>
      <c r="AE403" s="1812"/>
      <c r="AF403" s="1812"/>
      <c r="AG403" s="1812"/>
      <c r="AH403" s="1812"/>
      <c r="AI403" s="1812"/>
      <c r="AJ403" s="1812"/>
    </row>
    <row r="404" spans="1:36" ht="12.95" customHeight="1">
      <c r="D404" s="3" t="s">
        <v>1663</v>
      </c>
      <c r="K404" s="1812" t="s">
        <v>2615</v>
      </c>
      <c r="L404" s="1812"/>
      <c r="M404" s="1812"/>
      <c r="N404" s="1812"/>
      <c r="O404" s="1812"/>
      <c r="P404" s="1812"/>
      <c r="Q404" s="1812"/>
      <c r="R404" s="1812"/>
      <c r="S404" s="1812"/>
      <c r="T404" s="1812"/>
      <c r="U404" s="1812"/>
      <c r="V404" s="1812"/>
      <c r="W404" s="1812"/>
      <c r="X404" s="1812"/>
      <c r="Y404" s="1812"/>
      <c r="Z404" s="1812"/>
      <c r="AA404" s="1812"/>
      <c r="AB404" s="1812"/>
      <c r="AC404" s="1812"/>
      <c r="AD404" s="1812"/>
      <c r="AE404" s="1812"/>
      <c r="AF404" s="1812"/>
      <c r="AG404" s="1812"/>
      <c r="AH404" s="1812"/>
      <c r="AI404" s="1812"/>
      <c r="AJ404" s="1812"/>
    </row>
    <row r="405" spans="1:36" ht="12.95" customHeight="1">
      <c r="D405" s="3" t="s">
        <v>1666</v>
      </c>
      <c r="E405" s="476"/>
      <c r="F405" s="476"/>
      <c r="G405" s="476"/>
      <c r="H405" s="476"/>
      <c r="I405" s="476"/>
      <c r="J405" s="476"/>
      <c r="K405" s="476"/>
      <c r="L405" s="476"/>
      <c r="M405" s="476"/>
      <c r="N405" s="476"/>
      <c r="O405" s="476"/>
      <c r="P405" s="476"/>
      <c r="Q405" s="476"/>
      <c r="R405" s="476"/>
      <c r="S405" s="1829" t="s">
        <v>2702</v>
      </c>
      <c r="T405" s="1829"/>
      <c r="U405" s="1829"/>
      <c r="V405" s="1829"/>
      <c r="W405" s="1829"/>
      <c r="X405" s="1829"/>
      <c r="Y405" s="1829"/>
      <c r="Z405" s="1829"/>
      <c r="AA405" s="1829"/>
      <c r="AB405" s="1829"/>
      <c r="AC405" s="1829"/>
      <c r="AD405" s="1829"/>
      <c r="AE405" s="1829"/>
      <c r="AF405" s="1829"/>
      <c r="AG405" s="1829"/>
      <c r="AH405" s="1829"/>
      <c r="AI405" s="1829"/>
      <c r="AJ405" s="1829"/>
    </row>
    <row r="406" spans="1:36" ht="12.95" customHeight="1">
      <c r="D406" s="1271" t="s">
        <v>1665</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55"/>
      <c r="AH408" s="455"/>
      <c r="AI408" s="455"/>
      <c r="AJ408" s="455"/>
    </row>
    <row r="409" spans="1:36" ht="12.95" customHeight="1">
      <c r="A409" s="2" t="s">
        <v>590</v>
      </c>
      <c r="B409" s="2"/>
      <c r="C409" s="2" t="s">
        <v>111</v>
      </c>
    </row>
    <row r="410" spans="1:36" ht="12.95" customHeight="1">
      <c r="B410" s="2"/>
      <c r="C410" s="2"/>
      <c r="D410" s="2" t="s">
        <v>1205</v>
      </c>
      <c r="I410" s="1421" t="s">
        <v>2675</v>
      </c>
      <c r="J410" s="1421"/>
      <c r="K410" s="1421"/>
      <c r="L410" s="1421"/>
      <c r="M410" s="1421"/>
      <c r="N410" s="1421"/>
      <c r="O410" s="1421"/>
      <c r="P410" s="1421"/>
      <c r="Q410" s="1421"/>
      <c r="R410" s="1421"/>
      <c r="S410" s="1421"/>
      <c r="T410" s="1421"/>
      <c r="U410" s="1421"/>
      <c r="V410" s="1421"/>
      <c r="W410" s="1421"/>
      <c r="X410" s="1421"/>
      <c r="Y410" s="1421"/>
      <c r="Z410" s="1421"/>
      <c r="AA410" s="1421"/>
      <c r="AB410" s="1421"/>
      <c r="AC410" s="1421"/>
      <c r="AD410" s="1421"/>
      <c r="AE410" s="1421"/>
    </row>
    <row r="411" spans="1:36" ht="12.95" customHeight="1">
      <c r="E411" t="s">
        <v>106</v>
      </c>
      <c r="R411" s="1336" t="s">
        <v>546</v>
      </c>
      <c r="S411" s="1336"/>
      <c r="AC411" s="27" t="s">
        <v>571</v>
      </c>
      <c r="AD411" s="1457">
        <v>6</v>
      </c>
      <c r="AE411" s="1457"/>
    </row>
    <row r="412" spans="1:36" ht="12.95" customHeight="1">
      <c r="E412" t="s">
        <v>107</v>
      </c>
      <c r="R412" s="1336" t="s">
        <v>592</v>
      </c>
      <c r="S412" s="1336"/>
      <c r="AC412" s="27" t="s">
        <v>571</v>
      </c>
      <c r="AD412" s="1792" t="s">
        <v>592</v>
      </c>
      <c r="AE412" s="1457"/>
    </row>
    <row r="413" spans="1:36" ht="12.95" customHeight="1">
      <c r="E413" t="s">
        <v>108</v>
      </c>
      <c r="S413" s="1336" t="s">
        <v>592</v>
      </c>
      <c r="T413" s="1336"/>
    </row>
    <row r="414" spans="1:36" ht="12.95" customHeight="1">
      <c r="E414" t="s">
        <v>170</v>
      </c>
      <c r="H414" s="1832" t="s">
        <v>334</v>
      </c>
      <c r="I414" s="1832"/>
      <c r="J414" s="1832"/>
      <c r="K414" s="1832"/>
      <c r="L414" s="1832"/>
      <c r="M414" s="1832"/>
      <c r="N414" s="1832"/>
      <c r="O414" s="1832"/>
      <c r="P414" s="1832"/>
      <c r="Q414" s="1832"/>
      <c r="R414" s="1832"/>
      <c r="S414" s="1832"/>
      <c r="T414" s="1832"/>
      <c r="U414" s="1832"/>
      <c r="V414" s="1832"/>
      <c r="W414" s="1832"/>
      <c r="X414" s="1832"/>
      <c r="Y414" s="1832"/>
      <c r="Z414" s="1832"/>
      <c r="AA414" s="1832"/>
      <c r="AB414" s="1832"/>
      <c r="AC414" s="1832"/>
      <c r="AD414" s="1832"/>
      <c r="AE414" s="1832"/>
    </row>
    <row r="415" spans="1:36" ht="12.95" customHeight="1">
      <c r="H415" s="1833"/>
      <c r="I415" s="1833"/>
      <c r="J415" s="1833"/>
      <c r="K415" s="1833"/>
      <c r="L415" s="1833"/>
      <c r="M415" s="1833"/>
      <c r="N415" s="1833"/>
      <c r="O415" s="1833"/>
      <c r="P415" s="1833"/>
      <c r="Q415" s="1833"/>
      <c r="R415" s="1833"/>
      <c r="S415" s="1833"/>
      <c r="T415" s="1833"/>
      <c r="U415" s="1833"/>
      <c r="V415" s="1833"/>
      <c r="W415" s="1833"/>
      <c r="X415" s="1833"/>
      <c r="Y415" s="1833"/>
      <c r="Z415" s="1833"/>
      <c r="AA415" s="1833"/>
      <c r="AB415" s="1833"/>
      <c r="AC415" s="1833"/>
      <c r="AD415" s="1833"/>
      <c r="AE415" s="1833"/>
    </row>
    <row r="416" spans="1:36" ht="12.95" customHeight="1"/>
    <row r="417" spans="1:39" ht="12.95" customHeight="1">
      <c r="A417" s="2" t="s">
        <v>591</v>
      </c>
      <c r="B417" s="2"/>
      <c r="C417" s="2"/>
      <c r="D417" s="2" t="s">
        <v>114</v>
      </c>
      <c r="AF417" s="2" t="s">
        <v>958</v>
      </c>
    </row>
    <row r="418" spans="1:39" ht="12.95" customHeight="1">
      <c r="E418" s="1782"/>
      <c r="F418" s="1782"/>
      <c r="G418" s="1782"/>
      <c r="H418" s="13" t="s">
        <v>115</v>
      </c>
      <c r="I418" s="1782"/>
      <c r="J418" s="1782"/>
      <c r="K418" s="1782"/>
      <c r="L418" t="s">
        <v>116</v>
      </c>
      <c r="N418" s="27" t="s">
        <v>576</v>
      </c>
      <c r="P418" s="1780">
        <v>0.95</v>
      </c>
      <c r="Q418" s="1780"/>
      <c r="R418" s="1780"/>
      <c r="S418" t="s">
        <v>117</v>
      </c>
      <c r="W418" s="1783">
        <f>IF(E418&gt;0,(E418*I418),(P418*43560))</f>
        <v>41382</v>
      </c>
      <c r="X418" s="1783"/>
      <c r="Y418" s="1783"/>
      <c r="Z418" t="s">
        <v>118</v>
      </c>
      <c r="AF418" s="1786">
        <f>IFERROR(IF(P418&gt;0,(AG437/P418),(AG437/(W418/43560))),0)</f>
        <v>157.89473684210526</v>
      </c>
      <c r="AG418" s="1786"/>
      <c r="AH418" s="1786"/>
      <c r="AM418" s="3"/>
    </row>
    <row r="419" spans="1:39" ht="12.95" customHeight="1">
      <c r="E419" t="s">
        <v>51</v>
      </c>
    </row>
    <row r="420" spans="1:39" ht="12.95" customHeight="1">
      <c r="E420" s="1827" t="s">
        <v>592</v>
      </c>
      <c r="F420" s="1828"/>
      <c r="G420" s="1828"/>
      <c r="H420" s="1828"/>
      <c r="I420" s="1828"/>
      <c r="J420" s="1828"/>
      <c r="K420" s="1828"/>
      <c r="L420" s="1828"/>
      <c r="M420" s="1828"/>
      <c r="N420" s="1828"/>
      <c r="O420" s="1828"/>
      <c r="P420" s="1828"/>
      <c r="Q420" s="1828"/>
      <c r="R420" s="1828"/>
      <c r="S420" s="1828"/>
      <c r="T420" s="1828"/>
      <c r="U420" s="1828"/>
      <c r="V420" s="1828"/>
      <c r="W420" s="1828"/>
      <c r="X420" s="1828"/>
      <c r="Y420" s="1828"/>
      <c r="Z420" s="1828"/>
      <c r="AA420" s="1828"/>
      <c r="AB420" s="1828"/>
      <c r="AC420" s="1828"/>
      <c r="AD420" s="1828"/>
      <c r="AE420" s="1828"/>
      <c r="AF420" s="1828"/>
      <c r="AG420" s="1828"/>
      <c r="AH420" s="1828"/>
      <c r="AI420" s="1828"/>
      <c r="AJ420" s="1828"/>
    </row>
    <row r="421" spans="1:39" ht="12.95" customHeight="1">
      <c r="E421" s="118" t="s">
        <v>1737</v>
      </c>
      <c r="F421" s="1012"/>
      <c r="G421" s="1012"/>
      <c r="H421" s="1012"/>
      <c r="I421" s="1856">
        <v>0.95</v>
      </c>
      <c r="J421" s="1856"/>
      <c r="K421" s="1856"/>
      <c r="L421" s="1012"/>
      <c r="M421" s="118"/>
      <c r="N421" s="1012"/>
      <c r="O421" s="1012"/>
      <c r="P421" s="1445">
        <f>(DU755+DU778+DU800)/I421</f>
        <v>158.94736842105263</v>
      </c>
      <c r="Q421" s="1445"/>
      <c r="R421" s="1445"/>
      <c r="S421" s="118" t="s">
        <v>1738</v>
      </c>
      <c r="T421" s="1012"/>
      <c r="U421" s="1012"/>
      <c r="V421" s="1012"/>
      <c r="W421" s="1012"/>
      <c r="X421" s="1012"/>
      <c r="Y421" s="1012"/>
      <c r="Z421" s="1012"/>
      <c r="AA421" s="1012"/>
      <c r="AB421" s="1012"/>
      <c r="AC421" s="1012"/>
      <c r="AD421" s="1012"/>
      <c r="AE421" s="1012"/>
      <c r="AF421" s="1012"/>
      <c r="AG421" s="1012"/>
      <c r="AH421" s="1012"/>
      <c r="AI421" s="1012"/>
      <c r="AJ421" s="1012"/>
    </row>
    <row r="422" spans="1:39" ht="12.95" customHeight="1"/>
    <row r="423" spans="1:39" ht="12.95" customHeight="1">
      <c r="A423" s="2" t="s">
        <v>593</v>
      </c>
      <c r="B423" s="2"/>
      <c r="C423" s="2"/>
      <c r="D423" s="2" t="s">
        <v>120</v>
      </c>
    </row>
    <row r="424" spans="1:39" ht="12.95" customHeight="1">
      <c r="E424" t="s">
        <v>121</v>
      </c>
      <c r="P424" s="1336">
        <v>1</v>
      </c>
      <c r="Q424" s="1336"/>
      <c r="S424" t="s">
        <v>189</v>
      </c>
      <c r="AE424" s="1336">
        <v>1</v>
      </c>
      <c r="AF424" s="1336"/>
    </row>
    <row r="425" spans="1:39" ht="12.95" customHeight="1">
      <c r="E425" t="s">
        <v>190</v>
      </c>
      <c r="P425" s="1336">
        <v>0</v>
      </c>
      <c r="Q425" s="1336"/>
      <c r="S425" t="s">
        <v>131</v>
      </c>
      <c r="AE425" s="1336" t="s">
        <v>546</v>
      </c>
      <c r="AF425" s="1336"/>
    </row>
    <row r="426" spans="1:39" ht="12.95" customHeight="1">
      <c r="F426" s="28" t="s">
        <v>132</v>
      </c>
    </row>
    <row r="427" spans="1:39" ht="12.95" customHeight="1">
      <c r="F427" s="1777" t="s">
        <v>2703</v>
      </c>
      <c r="G427" s="1820"/>
      <c r="H427" s="1820"/>
      <c r="I427" s="1820"/>
      <c r="J427" s="1820"/>
      <c r="K427" s="1820"/>
      <c r="L427" s="1820"/>
      <c r="M427" s="1820"/>
      <c r="N427" s="1820"/>
      <c r="O427" s="1820"/>
      <c r="P427" s="1820"/>
      <c r="Q427" s="1820"/>
      <c r="R427" s="1820"/>
      <c r="S427" s="1820"/>
      <c r="T427" s="1820"/>
      <c r="U427" s="1820"/>
      <c r="V427" s="1820"/>
      <c r="W427" s="1820"/>
      <c r="X427" s="1820"/>
      <c r="Y427" s="1820"/>
      <c r="Z427" s="1820"/>
      <c r="AA427" s="1820"/>
      <c r="AB427" s="1820"/>
      <c r="AC427" s="1820"/>
      <c r="AD427" s="1820"/>
      <c r="AE427" s="1820"/>
      <c r="AF427" s="1820"/>
      <c r="AG427" s="1820"/>
      <c r="AH427" s="1820"/>
    </row>
    <row r="428" spans="1:39" ht="12.95" customHeight="1">
      <c r="F428" s="1752"/>
      <c r="G428" s="1752"/>
      <c r="H428" s="1752"/>
      <c r="I428" s="1752"/>
      <c r="J428" s="1752"/>
      <c r="K428" s="1752"/>
      <c r="L428" s="1752"/>
      <c r="M428" s="1752"/>
      <c r="N428" s="1752"/>
      <c r="O428" s="1752"/>
      <c r="P428" s="1752"/>
      <c r="Q428" s="1752"/>
      <c r="R428" s="1752"/>
      <c r="S428" s="1752"/>
      <c r="T428" s="1752"/>
      <c r="U428" s="1752"/>
      <c r="V428" s="1752"/>
      <c r="W428" s="1752"/>
      <c r="X428" s="1752"/>
      <c r="Y428" s="1752"/>
      <c r="Z428" s="1752"/>
      <c r="AA428" s="1752"/>
      <c r="AB428" s="1752"/>
      <c r="AC428" s="1752"/>
      <c r="AD428" s="1752"/>
      <c r="AE428" s="1752"/>
      <c r="AF428" s="1752"/>
      <c r="AG428" s="1752"/>
      <c r="AH428" s="1752"/>
    </row>
    <row r="429" spans="1:39" ht="12.95" customHeight="1">
      <c r="E429" t="s">
        <v>609</v>
      </c>
      <c r="P429" s="1"/>
      <c r="Q429" s="1336" t="s">
        <v>546</v>
      </c>
      <c r="R429" s="1336"/>
    </row>
    <row r="430" spans="1:39" ht="12.95" customHeight="1">
      <c r="F430" t="s">
        <v>610</v>
      </c>
      <c r="P430" s="1"/>
      <c r="Q430" s="1"/>
      <c r="AF430" s="1336" t="s">
        <v>592</v>
      </c>
      <c r="AG430" s="1841"/>
    </row>
    <row r="431" spans="1:39" ht="12.95" customHeight="1"/>
    <row r="432" spans="1:39" ht="12.95" customHeight="1">
      <c r="A432" s="2"/>
      <c r="B432" s="2"/>
      <c r="C432" s="2"/>
      <c r="E432" s="4" t="s">
        <v>308</v>
      </c>
      <c r="Z432" s="1336" t="s">
        <v>670</v>
      </c>
      <c r="AA432" s="133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6" t="s">
        <v>592</v>
      </c>
      <c r="AA434" s="1336"/>
    </row>
    <row r="435" spans="1:55" ht="12.95" customHeight="1"/>
    <row r="436" spans="1:55" ht="12.95" customHeight="1">
      <c r="A436" s="2" t="s">
        <v>468</v>
      </c>
      <c r="B436" s="2"/>
      <c r="C436" s="2"/>
      <c r="D436" s="2" t="s">
        <v>765</v>
      </c>
      <c r="AF436" s="48"/>
    </row>
    <row r="437" spans="1:55" ht="12.95" customHeight="1">
      <c r="D437" s="1642" t="s">
        <v>43</v>
      </c>
      <c r="E437" s="1643"/>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743"/>
      <c r="AG437" s="1787">
        <v>150</v>
      </c>
      <c r="AH437" s="1787"/>
      <c r="AI437" s="1787"/>
      <c r="AJ437" s="1787"/>
    </row>
    <row r="438" spans="1:55" ht="12.95" customHeight="1">
      <c r="D438" s="1742" t="s">
        <v>1223</v>
      </c>
      <c r="E438" s="1761"/>
      <c r="F438" s="1761"/>
      <c r="G438" s="1761"/>
      <c r="H438" s="1761"/>
      <c r="I438" s="1761"/>
      <c r="J438" s="1761"/>
      <c r="K438" s="1761"/>
      <c r="L438" s="1761"/>
      <c r="M438" s="1761"/>
      <c r="N438" s="1761"/>
      <c r="O438" s="1761"/>
      <c r="P438" s="1761"/>
      <c r="Q438" s="1761"/>
      <c r="R438" s="1761"/>
      <c r="S438" s="1761"/>
      <c r="T438" s="1761"/>
      <c r="U438" s="1761"/>
      <c r="V438" s="1761"/>
      <c r="W438" s="1761"/>
      <c r="X438" s="1761"/>
      <c r="Y438" s="1761"/>
      <c r="Z438" s="1761"/>
      <c r="AA438" s="1761"/>
      <c r="AB438" s="1761"/>
      <c r="AC438" s="1761"/>
      <c r="AD438" s="1761"/>
      <c r="AE438" s="1761"/>
      <c r="AF438" s="1762"/>
      <c r="AG438" s="1840">
        <v>0</v>
      </c>
      <c r="AH438" s="1630"/>
      <c r="AI438" s="1630"/>
      <c r="AJ438" s="1630"/>
    </row>
    <row r="439" spans="1:55" ht="12.95" customHeight="1">
      <c r="D439" s="1742" t="s">
        <v>1032</v>
      </c>
      <c r="E439" s="1761"/>
      <c r="F439" s="1761"/>
      <c r="G439" s="1761"/>
      <c r="H439" s="1761"/>
      <c r="I439" s="1761"/>
      <c r="J439" s="1761"/>
      <c r="K439" s="1761"/>
      <c r="L439" s="1761"/>
      <c r="M439" s="1761"/>
      <c r="N439" s="1761"/>
      <c r="O439" s="1761"/>
      <c r="P439" s="1761"/>
      <c r="Q439" s="1761"/>
      <c r="R439" s="1761"/>
      <c r="S439" s="1761"/>
      <c r="T439" s="1761"/>
      <c r="U439" s="1761"/>
      <c r="V439" s="1761"/>
      <c r="W439" s="1761"/>
      <c r="X439" s="1761"/>
      <c r="Y439" s="1761"/>
      <c r="Z439" s="1761"/>
      <c r="AA439" s="1761"/>
      <c r="AB439" s="1761"/>
      <c r="AC439" s="1761"/>
      <c r="AD439" s="1761"/>
      <c r="AE439" s="1761"/>
      <c r="AF439" s="1762"/>
      <c r="AG439" s="1787">
        <v>149</v>
      </c>
      <c r="AH439" s="1787"/>
      <c r="AI439" s="1787"/>
      <c r="AJ439" s="1787"/>
    </row>
    <row r="440" spans="1:55" ht="12.95" customHeight="1">
      <c r="D440" s="1742" t="s">
        <v>1033</v>
      </c>
      <c r="E440" s="1761"/>
      <c r="F440" s="1761"/>
      <c r="G440" s="1761"/>
      <c r="H440" s="1761"/>
      <c r="I440" s="1761"/>
      <c r="J440" s="1761"/>
      <c r="K440" s="1761"/>
      <c r="L440" s="1761"/>
      <c r="M440" s="1761"/>
      <c r="N440" s="1761"/>
      <c r="O440" s="1761"/>
      <c r="P440" s="1761"/>
      <c r="Q440" s="1761"/>
      <c r="R440" s="1761"/>
      <c r="S440" s="1761"/>
      <c r="T440" s="1761"/>
      <c r="U440" s="1761"/>
      <c r="V440" s="1761"/>
      <c r="W440" s="1761"/>
      <c r="X440" s="1761"/>
      <c r="Y440" s="1761"/>
      <c r="Z440" s="1761"/>
      <c r="AA440" s="1761"/>
      <c r="AB440" s="1761"/>
      <c r="AC440" s="1761"/>
      <c r="AD440" s="1761"/>
      <c r="AE440" s="1761"/>
      <c r="AF440" s="1762"/>
      <c r="AG440" s="1787">
        <v>149</v>
      </c>
      <c r="AH440" s="1787"/>
      <c r="AI440" s="1787"/>
      <c r="AJ440" s="1787"/>
    </row>
    <row r="441" spans="1:55" ht="12.95" customHeight="1">
      <c r="D441" s="1742" t="s">
        <v>1035</v>
      </c>
      <c r="E441" s="1761"/>
      <c r="F441" s="1761"/>
      <c r="G441" s="1761"/>
      <c r="H441" s="1761"/>
      <c r="I441" s="1761"/>
      <c r="J441" s="1761"/>
      <c r="K441" s="1761"/>
      <c r="L441" s="1761"/>
      <c r="M441" s="1761"/>
      <c r="N441" s="1761"/>
      <c r="O441" s="1761"/>
      <c r="P441" s="1761"/>
      <c r="Q441" s="1761"/>
      <c r="R441" s="1761"/>
      <c r="S441" s="1761"/>
      <c r="T441" s="1761"/>
      <c r="U441" s="1761"/>
      <c r="V441" s="1761"/>
      <c r="W441" s="1761"/>
      <c r="X441" s="1761"/>
      <c r="Y441" s="1761"/>
      <c r="Z441" s="1761"/>
      <c r="AA441" s="1761"/>
      <c r="AB441" s="1761"/>
      <c r="AC441" s="1761"/>
      <c r="AD441" s="1761"/>
      <c r="AE441" s="1761"/>
      <c r="AF441" s="1762"/>
      <c r="AG441" s="1760">
        <f>IF(ISERROR(AG440/AG439),0,AG440/AG439)</f>
        <v>1</v>
      </c>
      <c r="AH441" s="1760"/>
      <c r="AI441" s="1760"/>
      <c r="AJ441" s="1760"/>
    </row>
    <row r="442" spans="1:55" ht="12.95" customHeight="1">
      <c r="D442" s="1742" t="s">
        <v>1034</v>
      </c>
      <c r="E442" s="1761"/>
      <c r="F442" s="1761"/>
      <c r="G442" s="1761"/>
      <c r="H442" s="1761"/>
      <c r="I442" s="1761"/>
      <c r="J442" s="1761"/>
      <c r="K442" s="1761"/>
      <c r="L442" s="1761"/>
      <c r="M442" s="1761"/>
      <c r="N442" s="1761"/>
      <c r="O442" s="1761"/>
      <c r="P442" s="1761"/>
      <c r="Q442" s="1761"/>
      <c r="R442" s="1761"/>
      <c r="S442" s="1761"/>
      <c r="T442" s="1761"/>
      <c r="U442" s="1761"/>
      <c r="V442" s="1761"/>
      <c r="W442" s="1761"/>
      <c r="X442" s="1761"/>
      <c r="Y442" s="1761"/>
      <c r="Z442" s="1761"/>
      <c r="AA442" s="1761"/>
      <c r="AB442" s="1761"/>
      <c r="AC442" s="1761"/>
      <c r="AD442" s="1761"/>
      <c r="AE442" s="1761"/>
      <c r="AF442" s="1762"/>
      <c r="AG442" s="1744">
        <v>65070</v>
      </c>
      <c r="AH442" s="1744"/>
      <c r="AI442" s="1744"/>
      <c r="AJ442" s="1744"/>
    </row>
    <row r="443" spans="1:55" ht="12.95" customHeight="1">
      <c r="D443" s="1742" t="s">
        <v>1036</v>
      </c>
      <c r="E443" s="1761"/>
      <c r="F443" s="1761"/>
      <c r="G443" s="1761"/>
      <c r="H443" s="1761"/>
      <c r="I443" s="1761"/>
      <c r="J443" s="1761"/>
      <c r="K443" s="1761"/>
      <c r="L443" s="1761"/>
      <c r="M443" s="1761"/>
      <c r="N443" s="1761"/>
      <c r="O443" s="1761"/>
      <c r="P443" s="1761"/>
      <c r="Q443" s="1761"/>
      <c r="R443" s="1761"/>
      <c r="S443" s="1761"/>
      <c r="T443" s="1761"/>
      <c r="U443" s="1761"/>
      <c r="V443" s="1761"/>
      <c r="W443" s="1761"/>
      <c r="X443" s="1761"/>
      <c r="Y443" s="1761"/>
      <c r="Z443" s="1761"/>
      <c r="AA443" s="1761"/>
      <c r="AB443" s="1761"/>
      <c r="AC443" s="1761"/>
      <c r="AD443" s="1761"/>
      <c r="AE443" s="1761"/>
      <c r="AF443" s="1762"/>
      <c r="AG443" s="1744">
        <f>AG442</f>
        <v>65070</v>
      </c>
      <c r="AH443" s="1744"/>
      <c r="AI443" s="1744"/>
      <c r="AJ443" s="1744"/>
    </row>
    <row r="444" spans="1:55" ht="12.95" customHeight="1">
      <c r="D444" s="1742" t="s">
        <v>1037</v>
      </c>
      <c r="E444" s="1761"/>
      <c r="F444" s="1761"/>
      <c r="G444" s="1761"/>
      <c r="H444" s="1761"/>
      <c r="I444" s="1761"/>
      <c r="J444" s="1761"/>
      <c r="K444" s="1761"/>
      <c r="L444" s="1761"/>
      <c r="M444" s="1761"/>
      <c r="N444" s="1761"/>
      <c r="O444" s="1761"/>
      <c r="P444" s="1761"/>
      <c r="Q444" s="1761"/>
      <c r="R444" s="1761"/>
      <c r="S444" s="1761"/>
      <c r="T444" s="1761"/>
      <c r="U444" s="1761"/>
      <c r="V444" s="1761"/>
      <c r="W444" s="1761"/>
      <c r="X444" s="1761"/>
      <c r="Y444" s="1761"/>
      <c r="Z444" s="1761"/>
      <c r="AA444" s="1761"/>
      <c r="AB444" s="1761"/>
      <c r="AC444" s="1761"/>
      <c r="AD444" s="1761"/>
      <c r="AE444" s="1761"/>
      <c r="AF444" s="1762"/>
      <c r="AG444" s="1760">
        <f>IF(ISERROR(AG443/AG442),0,AG443/AG442)</f>
        <v>1</v>
      </c>
      <c r="AH444" s="1760"/>
      <c r="AI444" s="1760"/>
      <c r="AJ444" s="1760"/>
    </row>
    <row r="445" spans="1:55" ht="12.95" customHeight="1">
      <c r="D445" s="1742" t="s">
        <v>1038</v>
      </c>
      <c r="E445" s="1761"/>
      <c r="F445" s="1761"/>
      <c r="G445" s="1761"/>
      <c r="H445" s="1761"/>
      <c r="I445" s="1761"/>
      <c r="J445" s="1761"/>
      <c r="K445" s="1761"/>
      <c r="L445" s="1761"/>
      <c r="M445" s="1761"/>
      <c r="N445" s="1761"/>
      <c r="O445" s="1761"/>
      <c r="P445" s="1761"/>
      <c r="Q445" s="1761"/>
      <c r="R445" s="1761"/>
      <c r="S445" s="1761"/>
      <c r="T445" s="1761"/>
      <c r="U445" s="1761"/>
      <c r="V445" s="1761"/>
      <c r="W445" s="1761"/>
      <c r="X445" s="1761"/>
      <c r="Y445" s="1761"/>
      <c r="Z445" s="1761"/>
      <c r="AA445" s="1761"/>
      <c r="AB445" s="1761"/>
      <c r="AC445" s="1761"/>
      <c r="AD445" s="1761"/>
      <c r="AE445" s="1761"/>
      <c r="AF445" s="1762"/>
      <c r="AG445" s="1760">
        <f>MIN(IF(AG441&gt;AG444,AG444,AG441),1)</f>
        <v>1</v>
      </c>
      <c r="AH445" s="1760"/>
      <c r="AI445" s="1760"/>
      <c r="AJ445" s="1760"/>
    </row>
    <row r="446" spans="1:55" ht="12.95" customHeight="1">
      <c r="D446" s="1742" t="s">
        <v>2089</v>
      </c>
      <c r="E446" s="1643"/>
      <c r="F446" s="1643"/>
      <c r="G446" s="1643"/>
      <c r="H446" s="1643"/>
      <c r="I446" s="1643"/>
      <c r="J446" s="1643"/>
      <c r="K446" s="1643"/>
      <c r="L446" s="1643"/>
      <c r="M446" s="1643"/>
      <c r="N446" s="1643"/>
      <c r="O446" s="1643"/>
      <c r="P446" s="1643"/>
      <c r="Q446" s="1643"/>
      <c r="R446" s="1643"/>
      <c r="S446" s="1643"/>
      <c r="T446" s="1643"/>
      <c r="U446" s="1643"/>
      <c r="V446" s="1643"/>
      <c r="W446" s="1643"/>
      <c r="X446" s="1643"/>
      <c r="Y446" s="1643"/>
      <c r="Z446" s="1643"/>
      <c r="AA446" s="1643"/>
      <c r="AB446" s="1643"/>
      <c r="AC446" s="1643"/>
      <c r="AD446" s="1643"/>
      <c r="AE446" s="1643"/>
      <c r="AF446" s="1743"/>
      <c r="AG446" s="1744">
        <f>1875+4810</f>
        <v>6685</v>
      </c>
      <c r="AH446" s="1744"/>
      <c r="AI446" s="1744"/>
      <c r="AJ446" s="1744"/>
      <c r="AZ446" s="34"/>
      <c r="BA446" s="34"/>
      <c r="BB446" s="34"/>
      <c r="BC446" s="34"/>
    </row>
    <row r="447" spans="1:55" ht="12.95" customHeight="1">
      <c r="D447" s="1642" t="s">
        <v>570</v>
      </c>
      <c r="E447" s="1643"/>
      <c r="F447" s="1643"/>
      <c r="G447" s="1643"/>
      <c r="H447" s="1643"/>
      <c r="I447" s="1643"/>
      <c r="J447" s="1643"/>
      <c r="K447" s="1643"/>
      <c r="L447" s="1643"/>
      <c r="M447" s="1643"/>
      <c r="N447" s="1643"/>
      <c r="O447" s="1643"/>
      <c r="P447" s="1643"/>
      <c r="Q447" s="1643"/>
      <c r="R447" s="1643"/>
      <c r="S447" s="1643"/>
      <c r="T447" s="1643"/>
      <c r="U447" s="1643"/>
      <c r="V447" s="1643"/>
      <c r="W447" s="1643"/>
      <c r="X447" s="1643"/>
      <c r="Y447" s="1643"/>
      <c r="Z447" s="1643"/>
      <c r="AA447" s="1643"/>
      <c r="AB447" s="1643"/>
      <c r="AC447" s="1643"/>
      <c r="AD447" s="1643"/>
      <c r="AE447" s="1643"/>
      <c r="AF447" s="1743"/>
      <c r="AG447" s="1744">
        <v>5031</v>
      </c>
      <c r="AH447" s="1744"/>
      <c r="AI447" s="1744"/>
      <c r="AJ447" s="1744"/>
      <c r="AZ447" s="3"/>
      <c r="BA447" s="3"/>
      <c r="BB447" s="3"/>
      <c r="BC447" s="3"/>
    </row>
    <row r="448" spans="1:55" ht="12.95" customHeight="1">
      <c r="D448" s="1742" t="s">
        <v>1206</v>
      </c>
      <c r="E448" s="1643"/>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743"/>
      <c r="AG448" s="1744">
        <f>AG446+351+351+351+351+296+844</f>
        <v>9229</v>
      </c>
      <c r="AH448" s="1744"/>
      <c r="AI448" s="1744"/>
      <c r="AJ448" s="1744"/>
      <c r="AZ448" s="3"/>
      <c r="BA448" s="3"/>
      <c r="BB448" s="3"/>
      <c r="BC448" s="3"/>
    </row>
    <row r="449" spans="1:55" ht="12.95" customHeight="1">
      <c r="D449" s="1742" t="s">
        <v>1039</v>
      </c>
      <c r="E449" s="1643"/>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743"/>
      <c r="AG449" s="1744">
        <v>0</v>
      </c>
      <c r="AH449" s="1744"/>
      <c r="AI449" s="1744"/>
      <c r="AJ449" s="1744"/>
      <c r="BB449" s="3"/>
      <c r="BC449" s="3"/>
    </row>
    <row r="450" spans="1:55" ht="12.95" customHeight="1">
      <c r="D450" s="1765" t="s">
        <v>1040</v>
      </c>
      <c r="E450" s="1766"/>
      <c r="F450" s="1766"/>
      <c r="G450" s="1766"/>
      <c r="H450" s="1766"/>
      <c r="I450" s="1766"/>
      <c r="J450" s="1766"/>
      <c r="K450" s="1766"/>
      <c r="L450" s="1766"/>
      <c r="M450" s="1766"/>
      <c r="N450" s="1766"/>
      <c r="O450" s="1766"/>
      <c r="P450" s="1766"/>
      <c r="Q450" s="1766"/>
      <c r="R450" s="1766"/>
      <c r="S450" s="1766"/>
      <c r="T450" s="1766"/>
      <c r="U450" s="1766"/>
      <c r="V450" s="1766"/>
      <c r="W450" s="1766"/>
      <c r="X450" s="1766"/>
      <c r="Y450" s="1766"/>
      <c r="Z450" s="1766"/>
      <c r="AA450" s="1766"/>
      <c r="AB450" s="1766"/>
      <c r="AC450" s="1766"/>
      <c r="AD450" s="1766"/>
      <c r="AE450" s="1766"/>
      <c r="AF450" s="1767"/>
      <c r="AG450" s="1839">
        <f>AG442+AG446+AG448+AG449</f>
        <v>80984</v>
      </c>
      <c r="AH450" s="1839"/>
      <c r="AI450" s="1839"/>
      <c r="AJ450" s="1839"/>
      <c r="AZ450" s="3"/>
      <c r="BA450" s="3"/>
      <c r="BB450" s="3"/>
      <c r="BC450" s="3"/>
    </row>
    <row r="451" spans="1:55" ht="12.95" customHeight="1">
      <c r="D451" s="1775" t="s">
        <v>1207</v>
      </c>
      <c r="E451" s="1775"/>
      <c r="F451" s="1775"/>
      <c r="G451" s="1775"/>
      <c r="H451" s="1775"/>
      <c r="I451" s="1775"/>
      <c r="J451" s="1775"/>
      <c r="K451" s="1775"/>
      <c r="L451" s="1775"/>
      <c r="M451" s="1775"/>
      <c r="N451" s="1775"/>
      <c r="O451" s="1775"/>
      <c r="P451" s="1775"/>
      <c r="Q451" s="1775"/>
      <c r="R451" s="1775"/>
      <c r="S451" s="1775"/>
      <c r="T451" s="1775"/>
      <c r="U451" s="1775"/>
      <c r="V451" s="1775"/>
      <c r="W451" s="1775"/>
      <c r="X451" s="1775"/>
      <c r="Y451" s="1775"/>
      <c r="Z451" s="1775"/>
      <c r="AA451" s="1775"/>
      <c r="AB451" s="1775"/>
      <c r="AC451" s="1775"/>
      <c r="AD451" s="1775"/>
      <c r="AE451" s="1775"/>
      <c r="AF451" s="1775"/>
      <c r="AG451" s="1775"/>
      <c r="AH451" s="1775"/>
      <c r="AI451" s="1775"/>
      <c r="AJ451" s="1775"/>
      <c r="AZ451" s="3"/>
      <c r="BA451" s="3"/>
      <c r="BB451" s="3"/>
      <c r="BC451" s="3"/>
    </row>
    <row r="452" spans="1:55" ht="12.95" customHeight="1">
      <c r="D452" s="1776"/>
      <c r="E452" s="1776"/>
      <c r="F452" s="1776"/>
      <c r="G452" s="1776"/>
      <c r="H452" s="1776"/>
      <c r="I452" s="1776"/>
      <c r="J452" s="1776"/>
      <c r="K452" s="1776"/>
      <c r="L452" s="1776"/>
      <c r="M452" s="1776"/>
      <c r="N452" s="1776"/>
      <c r="O452" s="1776"/>
      <c r="P452" s="1776"/>
      <c r="Q452" s="1776"/>
      <c r="R452" s="1776"/>
      <c r="S452" s="1776"/>
      <c r="T452" s="1776"/>
      <c r="U452" s="1776"/>
      <c r="V452" s="1776"/>
      <c r="W452" s="1776"/>
      <c r="X452" s="1776"/>
      <c r="Y452" s="1776"/>
      <c r="Z452" s="1776"/>
      <c r="AA452" s="1776"/>
      <c r="AB452" s="1776"/>
      <c r="AC452" s="1776"/>
      <c r="AD452" s="1776"/>
      <c r="AE452" s="1776"/>
      <c r="AF452" s="1776"/>
      <c r="AG452" s="1776"/>
      <c r="AH452" s="1776"/>
      <c r="AI452" s="1776"/>
      <c r="AJ452" s="1776"/>
      <c r="AZ452" s="3"/>
      <c r="BA452" s="3"/>
      <c r="BB452" s="3"/>
      <c r="BC452" s="3"/>
    </row>
    <row r="453" spans="1:55" ht="12.95" customHeight="1">
      <c r="D453" s="530"/>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774">
        <f>IF(AG437=0,"",'Sources and Uses Budget'!B105/Application!AG437)</f>
        <v>571552.23333333328</v>
      </c>
      <c r="AD454" s="1774"/>
      <c r="AE454" s="1774"/>
      <c r="AF454" s="1774"/>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774">
        <f>IF(AG437=0,"",'Sources and Uses Budget'!C105/Application!AG437)</f>
        <v>562421.42666666664</v>
      </c>
      <c r="AD455" s="1774"/>
      <c r="AE455" s="1774"/>
      <c r="AF455" s="1774"/>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774">
        <f>IF(AG437=0,"",('Sources and Uses Budget'!$S$107+'Sources and Uses Budget'!$T$107)/Application!AG437)</f>
        <v>530117.01333333331</v>
      </c>
      <c r="AD456" s="1774"/>
      <c r="AE456" s="1774"/>
      <c r="AF456" s="1774"/>
      <c r="AG456" s="177"/>
      <c r="AH456" s="177"/>
      <c r="AI456" s="177"/>
      <c r="AJ456" s="183"/>
      <c r="AZ456" s="3"/>
      <c r="BA456" s="3"/>
      <c r="BB456" s="3"/>
      <c r="BC456" s="3"/>
    </row>
    <row r="457" spans="1:55" ht="12.95" customHeight="1">
      <c r="D457" s="177"/>
      <c r="E457" s="177"/>
      <c r="F457" s="1738" t="str">
        <f>IFERROR(IF(AC454&gt;650000,"Please provide a justification of cost per unit in Tab 12 for all projects with per unit costs of greater than $650,000.",""),"")</f>
        <v/>
      </c>
      <c r="G457" s="1738"/>
      <c r="H457" s="1738"/>
      <c r="I457" s="1738"/>
      <c r="J457" s="1738"/>
      <c r="K457" s="1738"/>
      <c r="L457" s="1738"/>
      <c r="M457" s="1738"/>
      <c r="N457" s="1738"/>
      <c r="O457" s="1738"/>
      <c r="P457" s="1738"/>
      <c r="Q457" s="1738"/>
      <c r="R457" s="1738"/>
      <c r="S457" s="1738"/>
      <c r="T457" s="1738"/>
      <c r="U457" s="1738"/>
      <c r="V457" s="1738"/>
      <c r="W457" s="1738"/>
      <c r="X457" s="1738"/>
      <c r="Y457" s="1738"/>
      <c r="Z457" s="1738"/>
      <c r="AA457" s="1738"/>
      <c r="AB457" s="1738"/>
      <c r="AC457" s="514"/>
      <c r="AD457" s="177"/>
      <c r="AE457" s="177"/>
      <c r="AF457" s="177"/>
      <c r="AG457" s="177"/>
      <c r="AH457" s="177"/>
      <c r="AI457" s="177"/>
      <c r="AJ457" s="183"/>
      <c r="AZ457" s="3"/>
      <c r="BA457" s="3"/>
      <c r="BB457" s="3"/>
      <c r="BC457" s="3"/>
    </row>
    <row r="458" spans="1:55" ht="12.95" customHeight="1">
      <c r="A458" s="2"/>
      <c r="D458" s="2"/>
      <c r="E458" s="177"/>
      <c r="F458" s="1738"/>
      <c r="G458" s="1738"/>
      <c r="H458" s="1738"/>
      <c r="I458" s="1738"/>
      <c r="J458" s="1738"/>
      <c r="K458" s="1738"/>
      <c r="L458" s="1738"/>
      <c r="M458" s="1738"/>
      <c r="N458" s="1738"/>
      <c r="O458" s="1738"/>
      <c r="P458" s="1738"/>
      <c r="Q458" s="1738"/>
      <c r="R458" s="1738"/>
      <c r="S458" s="1738"/>
      <c r="T458" s="1738"/>
      <c r="U458" s="1738"/>
      <c r="V458" s="1738"/>
      <c r="W458" s="1738"/>
      <c r="X458" s="1738"/>
      <c r="Y458" s="1738"/>
      <c r="Z458" s="1738"/>
      <c r="AA458" s="1738"/>
      <c r="AB458" s="1738"/>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0"/>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73" t="s">
        <v>2101</v>
      </c>
      <c r="E465" s="1746"/>
      <c r="F465" s="1746"/>
      <c r="G465" s="1746"/>
      <c r="H465" s="1746"/>
      <c r="I465" s="1746"/>
      <c r="J465" s="1746"/>
      <c r="K465" s="1746"/>
      <c r="L465" s="1746"/>
      <c r="M465" s="1746"/>
      <c r="N465" s="1746"/>
      <c r="O465" s="1746"/>
      <c r="P465" s="1746"/>
      <c r="Q465" s="1746"/>
      <c r="R465" s="1746"/>
      <c r="S465" s="1746"/>
      <c r="T465" s="1746"/>
      <c r="U465" s="1746"/>
      <c r="V465" s="1747"/>
      <c r="W465" s="1689">
        <v>75</v>
      </c>
      <c r="X465" s="1690"/>
      <c r="Y465" s="1691"/>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45" t="s">
        <v>694</v>
      </c>
      <c r="E466" s="1746"/>
      <c r="F466" s="1746"/>
      <c r="G466" s="1746"/>
      <c r="H466" s="1746"/>
      <c r="I466" s="1746"/>
      <c r="J466" s="1746"/>
      <c r="K466" s="1746"/>
      <c r="L466" s="1746"/>
      <c r="M466" s="1746"/>
      <c r="N466" s="1746"/>
      <c r="O466" s="1746"/>
      <c r="P466" s="1746"/>
      <c r="Q466" s="1746"/>
      <c r="R466" s="1746"/>
      <c r="S466" s="1746"/>
      <c r="T466" s="1746"/>
      <c r="U466" s="1746"/>
      <c r="V466" s="1747"/>
      <c r="W466" s="1689">
        <v>0</v>
      </c>
      <c r="X466" s="1690"/>
      <c r="Y466" s="1691"/>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45" t="s">
        <v>695</v>
      </c>
      <c r="E467" s="1746"/>
      <c r="F467" s="1746"/>
      <c r="G467" s="1746"/>
      <c r="H467" s="1746"/>
      <c r="I467" s="1746"/>
      <c r="J467" s="1746"/>
      <c r="K467" s="1746"/>
      <c r="L467" s="1746"/>
      <c r="M467" s="1746"/>
      <c r="N467" s="1746"/>
      <c r="O467" s="1746"/>
      <c r="P467" s="1746"/>
      <c r="Q467" s="1746"/>
      <c r="R467" s="1746"/>
      <c r="S467" s="1746"/>
      <c r="T467" s="1746"/>
      <c r="U467" s="1746"/>
      <c r="V467" s="1747"/>
      <c r="W467" s="1689">
        <v>0</v>
      </c>
      <c r="X467" s="1690"/>
      <c r="Y467" s="1691"/>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45" t="s">
        <v>696</v>
      </c>
      <c r="E468" s="1746"/>
      <c r="F468" s="1746"/>
      <c r="G468" s="1746"/>
      <c r="H468" s="1746"/>
      <c r="I468" s="1746"/>
      <c r="J468" s="1746"/>
      <c r="K468" s="1746"/>
      <c r="L468" s="1746"/>
      <c r="M468" s="1746"/>
      <c r="N468" s="1746"/>
      <c r="O468" s="1746"/>
      <c r="P468" s="1746"/>
      <c r="Q468" s="1746"/>
      <c r="R468" s="1746"/>
      <c r="S468" s="1746"/>
      <c r="T468" s="1746"/>
      <c r="U468" s="1746"/>
      <c r="V468" s="1747"/>
      <c r="W468" s="1689">
        <v>0</v>
      </c>
      <c r="X468" s="1690"/>
      <c r="Y468" s="1691"/>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45" t="s">
        <v>882</v>
      </c>
      <c r="E469" s="1746"/>
      <c r="F469" s="1746"/>
      <c r="G469" s="1746"/>
      <c r="H469" s="1746"/>
      <c r="I469" s="1746"/>
      <c r="J469" s="1746"/>
      <c r="K469" s="1746"/>
      <c r="L469" s="1746"/>
      <c r="M469" s="1746"/>
      <c r="N469" s="1746"/>
      <c r="O469" s="1746"/>
      <c r="P469" s="1746"/>
      <c r="Q469" s="1746"/>
      <c r="R469" s="1746"/>
      <c r="S469" s="1746"/>
      <c r="T469" s="1746"/>
      <c r="U469" s="1746"/>
      <c r="V469" s="1747"/>
      <c r="W469" s="1689">
        <v>0</v>
      </c>
      <c r="X469" s="1690"/>
      <c r="Y469" s="1691"/>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45" t="s">
        <v>697</v>
      </c>
      <c r="E470" s="1746"/>
      <c r="F470" s="1746"/>
      <c r="G470" s="1746"/>
      <c r="H470" s="1746"/>
      <c r="I470" s="1746"/>
      <c r="J470" s="1746"/>
      <c r="K470" s="1746"/>
      <c r="L470" s="1746"/>
      <c r="M470" s="1746"/>
      <c r="N470" s="1746"/>
      <c r="O470" s="1746"/>
      <c r="P470" s="1746"/>
      <c r="Q470" s="1746"/>
      <c r="R470" s="1746"/>
      <c r="S470" s="1746"/>
      <c r="T470" s="1746"/>
      <c r="U470" s="1746"/>
      <c r="V470" s="1747"/>
      <c r="W470" s="1689">
        <v>0</v>
      </c>
      <c r="X470" s="1690"/>
      <c r="Y470" s="1691"/>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45" t="s">
        <v>1013</v>
      </c>
      <c r="E471" s="1746"/>
      <c r="F471" s="1746"/>
      <c r="G471" s="1746"/>
      <c r="H471" s="1746"/>
      <c r="I471" s="1746"/>
      <c r="J471" s="1746"/>
      <c r="K471" s="1746"/>
      <c r="L471" s="1746"/>
      <c r="M471" s="1746"/>
      <c r="N471" s="1746"/>
      <c r="O471" s="1746"/>
      <c r="P471" s="1746"/>
      <c r="Q471" s="1746"/>
      <c r="R471" s="1746"/>
      <c r="S471" s="1746"/>
      <c r="T471" s="1746"/>
      <c r="U471" s="1746"/>
      <c r="V471" s="1747"/>
      <c r="W471" s="1689">
        <v>0</v>
      </c>
      <c r="X471" s="1690"/>
      <c r="Y471" s="1691"/>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73" t="s">
        <v>2192</v>
      </c>
      <c r="E472" s="1871"/>
      <c r="F472" s="1871"/>
      <c r="G472" s="1871"/>
      <c r="H472" s="1871"/>
      <c r="I472" s="1871"/>
      <c r="J472" s="1871"/>
      <c r="K472" s="1871"/>
      <c r="L472" s="1871"/>
      <c r="M472" s="1871"/>
      <c r="N472" s="1871"/>
      <c r="O472" s="1871"/>
      <c r="P472" s="1871"/>
      <c r="Q472" s="1871"/>
      <c r="R472" s="1871"/>
      <c r="S472" s="1871"/>
      <c r="T472" s="1871"/>
      <c r="U472" s="1871"/>
      <c r="V472" s="1872"/>
      <c r="W472" s="1689">
        <v>0</v>
      </c>
      <c r="X472" s="1690"/>
      <c r="Y472" s="1691"/>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73" t="s">
        <v>1655</v>
      </c>
      <c r="E473" s="1746"/>
      <c r="F473" s="1746"/>
      <c r="G473" s="1746"/>
      <c r="H473" s="1746"/>
      <c r="I473" s="1746"/>
      <c r="J473" s="1746"/>
      <c r="K473" s="1746"/>
      <c r="L473" s="1746"/>
      <c r="M473" s="1746"/>
      <c r="N473" s="1746"/>
      <c r="O473" s="1746"/>
      <c r="P473" s="1746"/>
      <c r="Q473" s="1746"/>
      <c r="R473" s="1746"/>
      <c r="S473" s="1746"/>
      <c r="T473" s="1746"/>
      <c r="U473" s="1746"/>
      <c r="V473" s="1747"/>
      <c r="W473" s="1689">
        <f>75+16</f>
        <v>91</v>
      </c>
      <c r="X473" s="1690"/>
      <c r="Y473" s="1691"/>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857" t="s">
        <v>1041</v>
      </c>
      <c r="H474" s="1858"/>
      <c r="I474" s="1858"/>
      <c r="J474" s="1858"/>
      <c r="K474" s="1858"/>
      <c r="L474" s="1858"/>
      <c r="M474" s="1858"/>
      <c r="N474" s="1858"/>
      <c r="O474" s="1858"/>
      <c r="P474" s="1858"/>
      <c r="Q474" s="1858"/>
      <c r="R474" s="1858"/>
      <c r="S474" s="1858"/>
      <c r="T474" s="1858"/>
      <c r="U474" s="1858"/>
      <c r="V474" s="1859"/>
      <c r="W474" s="1689">
        <v>149</v>
      </c>
      <c r="X474" s="1690"/>
      <c r="Y474" s="1691"/>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1260" t="s">
        <v>2704</v>
      </c>
      <c r="E476" s="250"/>
      <c r="F476" s="250"/>
      <c r="G476" s="250"/>
      <c r="H476" s="250"/>
      <c r="I476" s="250"/>
      <c r="J476" s="250"/>
      <c r="K476" s="250"/>
      <c r="L476" s="250"/>
      <c r="M476" s="250"/>
      <c r="N476" s="250"/>
      <c r="O476" s="250"/>
      <c r="P476" s="250"/>
      <c r="Q476" s="250"/>
      <c r="R476" s="250"/>
      <c r="S476" s="250"/>
      <c r="T476" s="250"/>
      <c r="U476" s="250"/>
      <c r="V476" s="250"/>
      <c r="W476" s="251"/>
      <c r="X476" s="251"/>
      <c r="Y476" s="252"/>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1261" t="s">
        <v>2720</v>
      </c>
      <c r="E477" s="250"/>
      <c r="F477" s="250"/>
      <c r="G477" s="250"/>
      <c r="H477" s="250"/>
      <c r="I477" s="250"/>
      <c r="J477" s="250"/>
      <c r="K477" s="250"/>
      <c r="L477" s="250"/>
      <c r="M477" s="250"/>
      <c r="N477" s="250"/>
      <c r="O477" s="250"/>
      <c r="P477" s="250"/>
      <c r="Q477" s="250"/>
      <c r="R477" s="250"/>
      <c r="S477" s="250"/>
      <c r="T477" s="250"/>
      <c r="U477" s="250"/>
      <c r="V477" s="250"/>
      <c r="W477" s="251"/>
      <c r="X477" s="251"/>
      <c r="Y477" s="252"/>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1261" t="s">
        <v>2719</v>
      </c>
      <c r="E478" s="250"/>
      <c r="F478" s="250"/>
      <c r="G478" s="250"/>
      <c r="H478" s="250"/>
      <c r="I478" s="250"/>
      <c r="J478" s="250"/>
      <c r="K478" s="250"/>
      <c r="L478" s="250"/>
      <c r="M478" s="250"/>
      <c r="N478" s="250"/>
      <c r="O478" s="250"/>
      <c r="P478" s="250"/>
      <c r="Q478" s="250"/>
      <c r="R478" s="250"/>
      <c r="S478" s="250"/>
      <c r="T478" s="250"/>
      <c r="U478" s="250"/>
      <c r="V478" s="250"/>
      <c r="W478" s="251"/>
      <c r="X478" s="251"/>
      <c r="Y478" s="252"/>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7" t="s">
        <v>811</v>
      </c>
      <c r="B480" s="1427"/>
      <c r="C480" s="1427"/>
      <c r="D480" s="1427"/>
      <c r="E480" s="1427"/>
      <c r="F480" s="1427"/>
      <c r="G480" s="1427"/>
      <c r="H480" s="1427"/>
      <c r="I480" s="1427"/>
      <c r="J480" s="1427"/>
      <c r="K480" s="1427"/>
      <c r="L480" s="1427"/>
      <c r="M480" s="1427"/>
      <c r="N480" s="1427"/>
      <c r="O480" s="1427"/>
      <c r="P480" s="1427"/>
      <c r="Q480" s="1427"/>
      <c r="R480" s="1427"/>
      <c r="S480" s="1427"/>
      <c r="T480" s="1427"/>
      <c r="U480" s="1427"/>
      <c r="V480" s="1427"/>
      <c r="W480" s="1427"/>
      <c r="X480" s="1427"/>
      <c r="Y480" s="1427"/>
      <c r="Z480" s="1427"/>
      <c r="AA480" s="1427"/>
      <c r="AB480" s="1427"/>
      <c r="AC480" s="1427"/>
      <c r="AD480" s="1427"/>
      <c r="AE480" s="1427"/>
      <c r="AF480" s="1427"/>
      <c r="AG480" s="1427"/>
      <c r="AH480" s="1427"/>
      <c r="AI480" s="1427"/>
      <c r="AJ480" s="1427"/>
      <c r="AK480" s="1427"/>
      <c r="AL480" s="1427"/>
      <c r="AM480" s="1427"/>
      <c r="AN480" s="1427"/>
      <c r="AO480" s="1427"/>
      <c r="AP480" s="1427"/>
      <c r="AQ480" s="1427"/>
      <c r="AR480" s="1427"/>
      <c r="AS480" s="1427"/>
      <c r="AT480" s="1427"/>
      <c r="AU480" s="95"/>
      <c r="AV480" s="95"/>
      <c r="AW480" s="95"/>
      <c r="AX480" s="95"/>
      <c r="AY480" s="95"/>
      <c r="AZ480" s="3"/>
      <c r="BB480" s="3"/>
      <c r="BC480" s="3"/>
    </row>
    <row r="481" spans="1:55" ht="12.95" customHeight="1">
      <c r="A481" s="1427"/>
      <c r="B481" s="1427"/>
      <c r="C481" s="1427"/>
      <c r="D481" s="1427"/>
      <c r="E481" s="1427"/>
      <c r="F481" s="1427"/>
      <c r="G481" s="1427"/>
      <c r="H481" s="1427"/>
      <c r="I481" s="1427"/>
      <c r="J481" s="1427"/>
      <c r="K481" s="1427"/>
      <c r="L481" s="1427"/>
      <c r="M481" s="1427"/>
      <c r="N481" s="1427"/>
      <c r="O481" s="1427"/>
      <c r="P481" s="1427"/>
      <c r="Q481" s="1427"/>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7"/>
      <c r="AL481" s="1427"/>
      <c r="AM481" s="1427"/>
      <c r="AN481" s="1427"/>
      <c r="AO481" s="1427"/>
      <c r="AP481" s="1427"/>
      <c r="AQ481" s="1427"/>
      <c r="AR481" s="1427"/>
      <c r="AS481" s="1427"/>
      <c r="AT481" s="1427"/>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58" t="s">
        <v>393</v>
      </c>
      <c r="R485" s="1759"/>
      <c r="S485" s="1759"/>
      <c r="T485" s="1759"/>
      <c r="U485" s="1759"/>
      <c r="V485" s="1759"/>
      <c r="W485" s="1759"/>
      <c r="X485" s="1759"/>
      <c r="Y485" s="1759"/>
      <c r="Z485" s="1759"/>
      <c r="AA485" s="1759"/>
      <c r="AB485" s="1759"/>
      <c r="AC485" s="1759"/>
      <c r="AD485" s="1759"/>
      <c r="AE485" s="1759"/>
      <c r="AF485" s="1759"/>
      <c r="AG485" s="1759"/>
      <c r="AH485" s="1759"/>
      <c r="AI485" s="1759"/>
      <c r="AJ485" s="1759"/>
      <c r="AK485" s="1852"/>
      <c r="AZ485" s="3"/>
      <c r="BB485" s="3"/>
      <c r="BC485" s="3"/>
    </row>
    <row r="486" spans="1:55" ht="12.95" customHeight="1">
      <c r="B486" s="45" t="s">
        <v>394</v>
      </c>
      <c r="C486" s="5"/>
      <c r="D486" s="5"/>
      <c r="E486" s="5"/>
      <c r="F486" s="5"/>
      <c r="G486" s="5"/>
      <c r="H486" s="5"/>
      <c r="I486" s="5"/>
      <c r="J486" s="5"/>
      <c r="K486" s="5"/>
      <c r="L486" s="5"/>
      <c r="M486" s="5"/>
      <c r="N486" s="5"/>
      <c r="O486" s="5"/>
      <c r="P486" s="5"/>
      <c r="Q486" s="1563" t="s">
        <v>2676</v>
      </c>
      <c r="R486" s="1353"/>
      <c r="S486" s="1353"/>
      <c r="T486" s="1353"/>
      <c r="U486" s="1353"/>
      <c r="V486" s="1353"/>
      <c r="W486" s="1353"/>
      <c r="X486" s="1353"/>
      <c r="Y486" s="1353"/>
      <c r="Z486" s="1353"/>
      <c r="AA486" s="1353"/>
      <c r="AB486" s="1353"/>
      <c r="AC486" s="1353"/>
      <c r="AD486" s="1353"/>
      <c r="AE486" s="1353"/>
      <c r="AF486" s="1353"/>
      <c r="AG486" s="1353"/>
      <c r="AH486" s="1353"/>
      <c r="AI486" s="1353"/>
      <c r="AJ486" s="1353"/>
      <c r="AK486" s="1595"/>
      <c r="AZ486" s="3"/>
      <c r="BB486" s="3"/>
      <c r="BC486" s="3"/>
    </row>
    <row r="487" spans="1:55" ht="12.95" customHeight="1">
      <c r="B487" s="45" t="s">
        <v>395</v>
      </c>
      <c r="C487" s="5"/>
      <c r="D487" s="5"/>
      <c r="E487" s="5"/>
      <c r="F487" s="5"/>
      <c r="G487" s="5"/>
      <c r="H487" s="5"/>
      <c r="I487" s="5"/>
      <c r="J487" s="5"/>
      <c r="K487" s="5"/>
      <c r="L487" s="5"/>
      <c r="M487" s="5"/>
      <c r="N487" s="5"/>
      <c r="O487" s="5"/>
      <c r="P487" s="5"/>
      <c r="Q487" s="1563" t="s">
        <v>2677</v>
      </c>
      <c r="R487" s="1353"/>
      <c r="S487" s="1353"/>
      <c r="T487" s="1353"/>
      <c r="U487" s="1353"/>
      <c r="V487" s="1353"/>
      <c r="W487" s="1353"/>
      <c r="X487" s="1353"/>
      <c r="Y487" s="1353"/>
      <c r="Z487" s="1353"/>
      <c r="AA487" s="1353"/>
      <c r="AB487" s="1353"/>
      <c r="AC487" s="1353"/>
      <c r="AD487" s="1353"/>
      <c r="AE487" s="1353"/>
      <c r="AF487" s="1353"/>
      <c r="AG487" s="1353"/>
      <c r="AH487" s="1353"/>
      <c r="AI487" s="1353"/>
      <c r="AJ487" s="1353"/>
      <c r="AK487" s="1595"/>
      <c r="AZ487" s="3"/>
      <c r="BB487" s="3"/>
      <c r="BC487" s="3"/>
    </row>
    <row r="488" spans="1:55" ht="12.95" customHeight="1">
      <c r="B488" s="45" t="s">
        <v>396</v>
      </c>
      <c r="C488" s="5"/>
      <c r="D488" s="5"/>
      <c r="E488" s="5"/>
      <c r="F488" s="5"/>
      <c r="G488" s="5"/>
      <c r="H488" s="5"/>
      <c r="I488" s="5"/>
      <c r="J488" s="5"/>
      <c r="K488" s="5"/>
      <c r="L488" s="5"/>
      <c r="M488" s="5"/>
      <c r="N488" s="5"/>
      <c r="O488" s="5"/>
      <c r="P488" s="5"/>
      <c r="Q488" s="1563" t="s">
        <v>2678</v>
      </c>
      <c r="R488" s="1353"/>
      <c r="S488" s="1353"/>
      <c r="T488" s="1353"/>
      <c r="U488" s="1353"/>
      <c r="V488" s="1353"/>
      <c r="W488" s="1353"/>
      <c r="X488" s="1353"/>
      <c r="Y488" s="1353"/>
      <c r="Z488" s="1353"/>
      <c r="AA488" s="1353"/>
      <c r="AB488" s="1353"/>
      <c r="AC488" s="1353"/>
      <c r="AD488" s="1353"/>
      <c r="AE488" s="1353"/>
      <c r="AF488" s="1353"/>
      <c r="AG488" s="1353"/>
      <c r="AH488" s="1353"/>
      <c r="AI488" s="1353"/>
      <c r="AJ488" s="1353"/>
      <c r="AK488" s="1595"/>
      <c r="AZ488" s="3"/>
      <c r="BA488" s="3"/>
      <c r="BB488" s="3"/>
      <c r="BC488" s="3"/>
    </row>
    <row r="489" spans="1:55" ht="12.95" customHeight="1">
      <c r="B489" s="1846" t="s">
        <v>397</v>
      </c>
      <c r="C489" s="1847"/>
      <c r="D489" s="1847"/>
      <c r="E489" s="1847"/>
      <c r="F489" s="1847"/>
      <c r="G489" s="1847"/>
      <c r="H489" s="1847"/>
      <c r="I489" s="1847"/>
      <c r="J489" s="1847"/>
      <c r="K489" s="1847"/>
      <c r="L489" s="1847"/>
      <c r="M489" s="1847"/>
      <c r="N489" s="1847"/>
      <c r="O489" s="1847"/>
      <c r="P489" s="1848"/>
      <c r="Q489" s="1768" t="s">
        <v>670</v>
      </c>
      <c r="R489" s="1769"/>
      <c r="S489" s="1748" t="s">
        <v>166</v>
      </c>
      <c r="T489" s="1749"/>
      <c r="U489" s="1749"/>
      <c r="V489" s="1749"/>
      <c r="W489" s="1749"/>
      <c r="X489" s="1749"/>
      <c r="Y489" s="1749"/>
      <c r="Z489" s="1749"/>
      <c r="AA489" s="1749"/>
      <c r="AB489" s="1749"/>
      <c r="AC489" s="1749"/>
      <c r="AD489" s="1749"/>
      <c r="AE489" s="1749"/>
      <c r="AF489" s="1749"/>
      <c r="AG489" s="1749"/>
      <c r="AH489" s="1749"/>
      <c r="AI489" s="1749"/>
      <c r="AJ489" s="1749"/>
      <c r="AK489" s="1750"/>
      <c r="AZ489" s="3"/>
      <c r="BA489" s="3"/>
      <c r="BB489" s="3"/>
      <c r="BC489" s="3"/>
    </row>
    <row r="490" spans="1:55" ht="12.95" customHeight="1">
      <c r="B490" s="1849"/>
      <c r="C490" s="1850"/>
      <c r="D490" s="1850"/>
      <c r="E490" s="1850"/>
      <c r="F490" s="1850"/>
      <c r="G490" s="1850"/>
      <c r="H490" s="1850"/>
      <c r="I490" s="1850"/>
      <c r="J490" s="1850"/>
      <c r="K490" s="1850"/>
      <c r="L490" s="1850"/>
      <c r="M490" s="1850"/>
      <c r="N490" s="1850"/>
      <c r="O490" s="1850"/>
      <c r="P490" s="1851"/>
      <c r="Q490" s="1770"/>
      <c r="R490" s="1771"/>
      <c r="S490" s="1751"/>
      <c r="T490" s="1752"/>
      <c r="U490" s="1752"/>
      <c r="V490" s="1752"/>
      <c r="W490" s="1752"/>
      <c r="X490" s="1752"/>
      <c r="Y490" s="1752"/>
      <c r="Z490" s="1752"/>
      <c r="AA490" s="1752"/>
      <c r="AB490" s="1752"/>
      <c r="AC490" s="1752"/>
      <c r="AD490" s="1752"/>
      <c r="AE490" s="1752"/>
      <c r="AF490" s="1752"/>
      <c r="AG490" s="1752"/>
      <c r="AH490" s="1752"/>
      <c r="AI490" s="1752"/>
      <c r="AJ490" s="1752"/>
      <c r="AK490" s="1753"/>
      <c r="AZ490" s="3"/>
      <c r="BA490" s="3"/>
      <c r="BB490" s="3"/>
      <c r="BC490" s="3"/>
    </row>
    <row r="491" spans="1:55" ht="12.95" customHeight="1">
      <c r="B491" s="894" t="s">
        <v>1672</v>
      </c>
      <c r="C491" s="872"/>
      <c r="D491" s="872"/>
      <c r="E491" s="872"/>
      <c r="F491" s="872"/>
      <c r="G491" s="872"/>
      <c r="H491" s="872"/>
      <c r="I491" s="872"/>
      <c r="J491" s="872"/>
      <c r="K491" s="872"/>
      <c r="L491" s="872"/>
      <c r="M491" s="872"/>
      <c r="N491" s="872"/>
      <c r="O491" s="872"/>
      <c r="P491" s="872"/>
      <c r="Q491" s="1860" t="s">
        <v>670</v>
      </c>
      <c r="R491" s="1861"/>
      <c r="S491" s="1861"/>
      <c r="T491" s="1861"/>
      <c r="U491" s="1861"/>
      <c r="V491" s="1861"/>
      <c r="W491" s="1861"/>
      <c r="X491" s="1861"/>
      <c r="Y491" s="1861"/>
      <c r="Z491" s="1861"/>
      <c r="AA491" s="1861"/>
      <c r="AB491" s="1861"/>
      <c r="AC491" s="1861"/>
      <c r="AD491" s="1861"/>
      <c r="AE491" s="1861"/>
      <c r="AF491" s="1861"/>
      <c r="AG491" s="1861"/>
      <c r="AH491" s="1861"/>
      <c r="AI491" s="1861"/>
      <c r="AJ491" s="1861"/>
      <c r="AK491" s="1862"/>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63" t="s">
        <v>670</v>
      </c>
      <c r="R492" s="1353"/>
      <c r="S492" s="1353"/>
      <c r="T492" s="1353"/>
      <c r="U492" s="1353"/>
      <c r="V492" s="1353"/>
      <c r="W492" s="1353"/>
      <c r="X492" s="1353"/>
      <c r="Y492" s="1353"/>
      <c r="Z492" s="1353"/>
      <c r="AA492" s="1353"/>
      <c r="AB492" s="1353"/>
      <c r="AC492" s="1353"/>
      <c r="AD492" s="1353"/>
      <c r="AE492" s="1353"/>
      <c r="AF492" s="1353"/>
      <c r="AG492" s="1353"/>
      <c r="AH492" s="1353"/>
      <c r="AI492" s="1353"/>
      <c r="AJ492" s="1353"/>
      <c r="AK492" s="1595"/>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94">
        <v>0</v>
      </c>
      <c r="R493" s="1353"/>
      <c r="S493" s="1353"/>
      <c r="T493" s="1353"/>
      <c r="U493" s="1353"/>
      <c r="V493" s="1353"/>
      <c r="W493" s="1353"/>
      <c r="X493" s="1353"/>
      <c r="Y493" s="1353"/>
      <c r="Z493" s="1353"/>
      <c r="AA493" s="1353"/>
      <c r="AB493" s="1353"/>
      <c r="AC493" s="1353"/>
      <c r="AD493" s="1353"/>
      <c r="AE493" s="1353"/>
      <c r="AF493" s="1353"/>
      <c r="AG493" s="1353"/>
      <c r="AH493" s="1353"/>
      <c r="AI493" s="1353"/>
      <c r="AJ493" s="1353"/>
      <c r="AK493" s="1595"/>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94">
        <v>0</v>
      </c>
      <c r="R494" s="1353"/>
      <c r="S494" s="1353"/>
      <c r="T494" s="1353"/>
      <c r="U494" s="1353"/>
      <c r="V494" s="1353"/>
      <c r="W494" s="1353"/>
      <c r="X494" s="1353"/>
      <c r="Y494" s="1353"/>
      <c r="Z494" s="1353"/>
      <c r="AA494" s="1353"/>
      <c r="AB494" s="1353"/>
      <c r="AC494" s="1353"/>
      <c r="AD494" s="1353"/>
      <c r="AE494" s="1353"/>
      <c r="AF494" s="1353"/>
      <c r="AG494" s="1353"/>
      <c r="AH494" s="1353"/>
      <c r="AI494" s="1353"/>
      <c r="AJ494" s="1353"/>
      <c r="AK494" s="1595"/>
      <c r="AZ494" s="3"/>
      <c r="BA494" s="3"/>
      <c r="BB494" s="3"/>
      <c r="BC494" s="3"/>
    </row>
    <row r="495" spans="1:55" ht="12.95" customHeight="1">
      <c r="B495" s="121" t="s">
        <v>1670</v>
      </c>
      <c r="C495" s="5"/>
      <c r="D495" s="5"/>
      <c r="E495" s="5"/>
      <c r="F495" s="5"/>
      <c r="G495" s="5"/>
      <c r="H495" s="5"/>
      <c r="I495" s="5"/>
      <c r="J495" s="5"/>
      <c r="K495" s="5"/>
      <c r="L495" s="5"/>
      <c r="M495" s="1461">
        <v>0</v>
      </c>
      <c r="N495" s="1462"/>
      <c r="O495" s="1462"/>
      <c r="P495" s="1463"/>
      <c r="Q495" s="121" t="s">
        <v>1671</v>
      </c>
      <c r="R495" s="5"/>
      <c r="S495" s="5"/>
      <c r="T495" s="5"/>
      <c r="U495" s="5"/>
      <c r="V495" s="5"/>
      <c r="W495" s="5"/>
      <c r="X495" s="5"/>
      <c r="Y495" s="5"/>
      <c r="Z495" s="5"/>
      <c r="AA495" s="5"/>
      <c r="AB495" s="5"/>
      <c r="AC495" s="5"/>
      <c r="AD495" s="5"/>
      <c r="AE495" s="5"/>
      <c r="AF495" s="5"/>
      <c r="AG495" s="5"/>
      <c r="AH495" s="1461">
        <v>0</v>
      </c>
      <c r="AI495" s="1462"/>
      <c r="AJ495" s="1462"/>
      <c r="AK495" s="1463"/>
      <c r="AZ495" s="3"/>
      <c r="BA495" s="3"/>
      <c r="BB495" s="3"/>
      <c r="BC495" s="3"/>
    </row>
    <row r="496" spans="1:55" ht="12.95" customHeight="1">
      <c r="B496" s="511"/>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7"/>
      <c r="C498" s="511"/>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58" t="s">
        <v>401</v>
      </c>
      <c r="AD499" s="1759"/>
      <c r="AE499" s="1759"/>
      <c r="AF499" s="1759"/>
      <c r="AG499" s="1759"/>
      <c r="AH499" s="1759"/>
      <c r="AI499" s="1759"/>
      <c r="AJ499" s="1759"/>
      <c r="AK499" s="185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58" t="s">
        <v>402</v>
      </c>
      <c r="AD500" s="1759"/>
      <c r="AE500" s="1759"/>
      <c r="AF500" s="1759"/>
      <c r="AG500" s="50" t="s">
        <v>403</v>
      </c>
      <c r="AH500" s="1759" t="s">
        <v>404</v>
      </c>
      <c r="AI500" s="1759"/>
      <c r="AJ500" s="1759"/>
      <c r="AK500" s="1852"/>
      <c r="AZ500" s="3"/>
      <c r="BA500" s="3"/>
      <c r="BB500" s="3"/>
      <c r="BC500" s="3"/>
      <c r="BD500" s="3"/>
      <c r="BE500" s="3"/>
      <c r="BF500" s="3"/>
      <c r="BG500" s="3"/>
      <c r="BH500" s="3"/>
      <c r="BI500" s="3"/>
      <c r="BJ500" s="3"/>
      <c r="BK500" s="3"/>
      <c r="BL500" s="3"/>
      <c r="BM500" s="3"/>
      <c r="BN500" s="3"/>
    </row>
    <row r="501" spans="1:66" ht="12.95" customHeight="1">
      <c r="B501" s="1739" t="s">
        <v>405</v>
      </c>
      <c r="C501" s="1435"/>
      <c r="D501" s="1435"/>
      <c r="E501" s="1435"/>
      <c r="F501" s="1435"/>
      <c r="G501" s="1435"/>
      <c r="H501" s="1436"/>
      <c r="I501" s="42" t="s">
        <v>406</v>
      </c>
      <c r="J501" s="42"/>
      <c r="K501" s="42"/>
      <c r="L501" s="42"/>
      <c r="M501" s="42"/>
      <c r="N501" s="42"/>
      <c r="O501" s="42"/>
      <c r="P501" s="42"/>
      <c r="Q501" s="42"/>
      <c r="R501" s="42"/>
      <c r="S501" s="42"/>
      <c r="T501" s="42"/>
      <c r="U501" s="42"/>
      <c r="V501" s="42"/>
      <c r="W501" s="42"/>
      <c r="AC501" s="1456">
        <v>3</v>
      </c>
      <c r="AD501" s="1457"/>
      <c r="AE501" s="1457"/>
      <c r="AF501" s="1457"/>
      <c r="AG501" s="13" t="s">
        <v>403</v>
      </c>
      <c r="AH501" s="1407">
        <v>2024</v>
      </c>
      <c r="AI501" s="1407"/>
      <c r="AJ501" s="1407"/>
      <c r="AK501" s="1408"/>
      <c r="AZ501" s="3"/>
      <c r="BA501" s="3"/>
      <c r="BB501" s="3"/>
      <c r="BC501" s="3"/>
      <c r="BD501" s="3"/>
      <c r="BE501" s="3"/>
      <c r="BF501" s="3"/>
      <c r="BG501" s="3"/>
      <c r="BH501" s="3"/>
      <c r="BI501" s="3"/>
      <c r="BJ501" s="3"/>
      <c r="BK501" s="3"/>
      <c r="BL501" s="3"/>
      <c r="BM501" s="3"/>
      <c r="BN501" s="3"/>
    </row>
    <row r="502" spans="1:66" ht="12.95" customHeight="1">
      <c r="B502" s="1740"/>
      <c r="C502" s="1437"/>
      <c r="D502" s="1437"/>
      <c r="E502" s="1437"/>
      <c r="F502" s="1437"/>
      <c r="G502" s="1437"/>
      <c r="H502" s="1438"/>
      <c r="I502" s="48" t="s">
        <v>407</v>
      </c>
      <c r="J502" s="48"/>
      <c r="K502" s="48"/>
      <c r="L502" s="48"/>
      <c r="M502" s="48"/>
      <c r="N502" s="48"/>
      <c r="O502" s="48"/>
      <c r="P502" s="48"/>
      <c r="Q502" s="48"/>
      <c r="R502" s="48"/>
      <c r="S502" s="48"/>
      <c r="T502" s="48"/>
      <c r="U502" s="48"/>
      <c r="V502" s="48"/>
      <c r="W502" s="48"/>
      <c r="X502" s="48"/>
      <c r="Y502" s="48"/>
      <c r="Z502" s="48"/>
      <c r="AA502" s="48"/>
      <c r="AB502" s="48"/>
      <c r="AC502" s="1456">
        <v>3</v>
      </c>
      <c r="AD502" s="1457"/>
      <c r="AE502" s="1457"/>
      <c r="AF502" s="1457"/>
      <c r="AG502" s="38" t="s">
        <v>403</v>
      </c>
      <c r="AH502" s="1407">
        <v>2024</v>
      </c>
      <c r="AI502" s="1407"/>
      <c r="AJ502" s="1407"/>
      <c r="AK502" s="1408"/>
      <c r="AZ502" s="3"/>
      <c r="BA502" s="3"/>
      <c r="BB502" s="3"/>
      <c r="BC502" s="3"/>
      <c r="BD502" s="3"/>
      <c r="BE502" s="3"/>
      <c r="BF502" s="3"/>
      <c r="BG502" s="3"/>
      <c r="BH502" s="3"/>
      <c r="BI502" s="3"/>
      <c r="BJ502" s="3"/>
      <c r="BK502" s="3"/>
      <c r="BL502" s="3"/>
      <c r="BM502" s="3"/>
      <c r="BN502" s="3"/>
    </row>
    <row r="503" spans="1:66" ht="12.95" customHeight="1">
      <c r="B503" s="1739" t="s">
        <v>408</v>
      </c>
      <c r="C503" s="1435"/>
      <c r="D503" s="1435"/>
      <c r="E503" s="1435"/>
      <c r="F503" s="1435"/>
      <c r="G503" s="1435"/>
      <c r="H503" s="1436"/>
      <c r="I503" s="42" t="s">
        <v>409</v>
      </c>
      <c r="J503" s="42"/>
      <c r="K503" s="42"/>
      <c r="L503" s="42"/>
      <c r="M503" s="42"/>
      <c r="N503" s="42"/>
      <c r="O503" s="42"/>
      <c r="P503" s="42"/>
      <c r="Q503" s="42"/>
      <c r="R503" s="42"/>
      <c r="S503" s="42"/>
      <c r="T503" s="42"/>
      <c r="U503" s="42"/>
      <c r="V503" s="42"/>
      <c r="W503" s="42"/>
      <c r="AC503" s="1456" t="s">
        <v>592</v>
      </c>
      <c r="AD503" s="1457"/>
      <c r="AE503" s="1457"/>
      <c r="AF503" s="1457"/>
      <c r="AG503" s="13" t="s">
        <v>403</v>
      </c>
      <c r="AH503" s="1407"/>
      <c r="AI503" s="1407"/>
      <c r="AJ503" s="1407"/>
      <c r="AK503" s="1408"/>
      <c r="AZ503" s="3"/>
      <c r="BA503" s="3"/>
      <c r="BB503" s="3"/>
      <c r="BC503" s="3"/>
      <c r="BD503" s="3"/>
      <c r="BE503" s="3"/>
      <c r="BF503" s="3"/>
      <c r="BG503" s="3"/>
      <c r="BH503" s="3"/>
      <c r="BI503" s="3"/>
      <c r="BJ503" s="3"/>
      <c r="BK503" s="3"/>
      <c r="BL503" s="3"/>
      <c r="BM503" s="3"/>
      <c r="BN503" s="3"/>
    </row>
    <row r="504" spans="1:66" ht="12.95" customHeight="1">
      <c r="B504" s="1740"/>
      <c r="C504" s="1437"/>
      <c r="D504" s="1437"/>
      <c r="E504" s="1437"/>
      <c r="F504" s="1437"/>
      <c r="G504" s="1437"/>
      <c r="H504" s="1438"/>
      <c r="I504" t="s">
        <v>410</v>
      </c>
      <c r="AC504" s="1456" t="s">
        <v>592</v>
      </c>
      <c r="AD504" s="1457"/>
      <c r="AE504" s="1457"/>
      <c r="AF504" s="1457"/>
      <c r="AG504" s="13" t="s">
        <v>403</v>
      </c>
      <c r="AH504" s="1407"/>
      <c r="AI504" s="1407"/>
      <c r="AJ504" s="1407"/>
      <c r="AK504" s="1408"/>
      <c r="AZ504" s="3"/>
      <c r="BA504" s="3"/>
      <c r="BB504" s="3"/>
      <c r="BC504" s="3"/>
      <c r="BD504" s="3"/>
      <c r="BE504" s="3"/>
      <c r="BF504" s="3"/>
      <c r="BG504" s="3"/>
      <c r="BH504" s="3"/>
      <c r="BI504" s="3"/>
      <c r="BJ504" s="3"/>
      <c r="BK504" s="3"/>
      <c r="BL504" s="3"/>
      <c r="BM504" s="3"/>
      <c r="BN504" s="3"/>
    </row>
    <row r="505" spans="1:66" ht="12.95" customHeight="1">
      <c r="B505" s="1740"/>
      <c r="C505" s="1437"/>
      <c r="D505" s="1437"/>
      <c r="E505" s="1437"/>
      <c r="F505" s="1437"/>
      <c r="G505" s="1437"/>
      <c r="H505" s="1438"/>
      <c r="I505" t="s">
        <v>411</v>
      </c>
      <c r="AC505" s="1456">
        <v>6</v>
      </c>
      <c r="AD505" s="1457"/>
      <c r="AE505" s="1457"/>
      <c r="AF505" s="1457"/>
      <c r="AG505" s="13" t="s">
        <v>403</v>
      </c>
      <c r="AH505" s="1407">
        <v>2024</v>
      </c>
      <c r="AI505" s="1407"/>
      <c r="AJ505" s="1407"/>
      <c r="AK505" s="1408"/>
      <c r="AZ505" s="3"/>
      <c r="BA505" s="3"/>
      <c r="BB505" s="3"/>
      <c r="BC505" s="3"/>
      <c r="BD505" s="3"/>
      <c r="BE505" s="3"/>
      <c r="BF505" s="3"/>
      <c r="BG505" s="3"/>
      <c r="BH505" s="3"/>
      <c r="BI505" s="3"/>
      <c r="BJ505" s="3"/>
      <c r="BK505" s="3"/>
      <c r="BL505" s="3"/>
      <c r="BM505" s="3"/>
      <c r="BN505" s="3"/>
    </row>
    <row r="506" spans="1:66" ht="12.95" customHeight="1">
      <c r="B506" s="1740"/>
      <c r="C506" s="1437"/>
      <c r="D506" s="1437"/>
      <c r="E506" s="1437"/>
      <c r="F506" s="1437"/>
      <c r="G506" s="1437"/>
      <c r="H506" s="1438"/>
      <c r="I506" t="s">
        <v>412</v>
      </c>
      <c r="AC506" s="1456">
        <v>1</v>
      </c>
      <c r="AD506" s="1457"/>
      <c r="AE506" s="1457"/>
      <c r="AF506" s="1457"/>
      <c r="AG506" s="13" t="s">
        <v>403</v>
      </c>
      <c r="AH506" s="1407">
        <v>2026</v>
      </c>
      <c r="AI506" s="1407"/>
      <c r="AJ506" s="1407"/>
      <c r="AK506" s="1408"/>
      <c r="AZ506" s="3"/>
      <c r="BA506" s="3"/>
      <c r="BB506" s="3"/>
      <c r="BC506" s="3"/>
      <c r="BD506" s="3"/>
      <c r="BE506" s="3"/>
      <c r="BF506" s="3"/>
      <c r="BG506" s="3"/>
      <c r="BH506" s="3"/>
      <c r="BI506" s="3"/>
      <c r="BJ506" s="3"/>
      <c r="BK506" s="3"/>
      <c r="BL506" s="3"/>
      <c r="BM506" s="3"/>
      <c r="BN506" s="3"/>
    </row>
    <row r="507" spans="1:66" ht="12.95" customHeight="1">
      <c r="B507" s="1740"/>
      <c r="C507" s="1437"/>
      <c r="D507" s="1437"/>
      <c r="E507" s="1437"/>
      <c r="F507" s="1437"/>
      <c r="G507" s="1437"/>
      <c r="H507" s="1438"/>
      <c r="I507" s="3" t="s">
        <v>413</v>
      </c>
      <c r="AC507" s="1350">
        <v>1</v>
      </c>
      <c r="AD507" s="1351"/>
      <c r="AE507" s="1351"/>
      <c r="AF507" s="1351"/>
      <c r="AG507" s="13" t="s">
        <v>403</v>
      </c>
      <c r="AH507" s="1407">
        <v>2026</v>
      </c>
      <c r="AI507" s="1407"/>
      <c r="AJ507" s="1407"/>
      <c r="AK507" s="1408"/>
      <c r="AZ507" s="3"/>
      <c r="BA507" s="3"/>
      <c r="BB507" s="3"/>
      <c r="BC507" s="3"/>
      <c r="BD507" s="3"/>
      <c r="BE507" s="3"/>
      <c r="BF507" s="3"/>
      <c r="BG507" s="3"/>
      <c r="BH507" s="3"/>
      <c r="BI507" s="3"/>
      <c r="BJ507" s="3"/>
      <c r="BK507" s="3"/>
      <c r="BL507" s="3"/>
      <c r="BM507" s="3"/>
      <c r="BN507" s="3"/>
    </row>
    <row r="508" spans="1:66" ht="12.95" customHeight="1">
      <c r="B508" s="1740"/>
      <c r="C508" s="1437"/>
      <c r="D508" s="1437"/>
      <c r="E508" s="1437"/>
      <c r="F508" s="1437"/>
      <c r="G508" s="1437"/>
      <c r="H508" s="1438"/>
      <c r="I508" s="895" t="s">
        <v>170</v>
      </c>
      <c r="J508" s="48"/>
      <c r="K508" s="48"/>
      <c r="L508" s="1754" t="s">
        <v>334</v>
      </c>
      <c r="M508" s="1755"/>
      <c r="N508" s="1755"/>
      <c r="O508" s="1755"/>
      <c r="P508" s="1755"/>
      <c r="Q508" s="1755"/>
      <c r="R508" s="1755"/>
      <c r="S508" s="1755"/>
      <c r="T508" s="1755"/>
      <c r="U508" s="1755"/>
      <c r="V508" s="1755"/>
      <c r="W508" s="1755"/>
      <c r="X508" s="1755"/>
      <c r="Y508" s="1755"/>
      <c r="Z508" s="1755"/>
      <c r="AA508" s="1755"/>
      <c r="AB508" s="1757"/>
      <c r="AC508" s="1456" t="s">
        <v>592</v>
      </c>
      <c r="AD508" s="1457"/>
      <c r="AE508" s="1457"/>
      <c r="AF508" s="1457"/>
      <c r="AG508" s="38" t="s">
        <v>403</v>
      </c>
      <c r="AH508" s="1407"/>
      <c r="AI508" s="1407"/>
      <c r="AJ508" s="1407"/>
      <c r="AK508" s="1408"/>
      <c r="AZ508" s="3"/>
      <c r="BA508" s="3"/>
      <c r="BB508" s="3"/>
      <c r="BC508" s="3"/>
      <c r="BD508" s="3"/>
      <c r="BE508" s="3"/>
      <c r="BF508" s="3"/>
      <c r="BG508" s="3"/>
      <c r="BH508" s="3"/>
      <c r="BI508" s="3"/>
      <c r="BJ508" s="3"/>
      <c r="BK508" s="3"/>
      <c r="BL508" s="3"/>
      <c r="BM508" s="3"/>
      <c r="BN508" s="3"/>
    </row>
    <row r="509" spans="1:66" ht="12.95" customHeight="1">
      <c r="B509" s="870"/>
      <c r="C509" s="130"/>
      <c r="D509" s="130"/>
      <c r="E509" s="130"/>
      <c r="F509" s="130"/>
      <c r="G509" s="130"/>
      <c r="H509" s="871"/>
      <c r="I509" s="3" t="s">
        <v>1676</v>
      </c>
      <c r="AC509" s="1787" t="s">
        <v>670</v>
      </c>
      <c r="AD509" s="1787"/>
      <c r="AE509" s="1787"/>
      <c r="AF509" s="1787"/>
      <c r="AG509" s="13"/>
      <c r="AH509" s="1339"/>
      <c r="AI509" s="1339"/>
      <c r="AJ509" s="1339"/>
      <c r="AK509" s="1772"/>
      <c r="AZ509" s="3"/>
      <c r="BA509" s="3"/>
      <c r="BB509" s="3"/>
      <c r="BC509" s="3"/>
      <c r="BD509" s="3"/>
      <c r="BE509" s="3"/>
      <c r="BF509" s="3"/>
      <c r="BG509" s="3"/>
      <c r="BH509" s="3"/>
      <c r="BI509" s="3"/>
      <c r="BJ509" s="3"/>
      <c r="BK509" s="3"/>
      <c r="BL509" s="3"/>
      <c r="BM509" s="3"/>
      <c r="BN509" s="3"/>
    </row>
    <row r="510" spans="1:66" ht="12.95" customHeight="1">
      <c r="B510" s="870"/>
      <c r="C510" s="130"/>
      <c r="D510" s="130"/>
      <c r="E510" s="130"/>
      <c r="F510" s="130"/>
      <c r="G510" s="130"/>
      <c r="H510" s="871"/>
      <c r="I510" t="s">
        <v>1673</v>
      </c>
      <c r="AC510" s="1350">
        <v>0</v>
      </c>
      <c r="AD510" s="1351"/>
      <c r="AE510" s="1351"/>
      <c r="AF510" s="1352"/>
      <c r="AG510" s="13"/>
      <c r="AH510" s="1339"/>
      <c r="AI510" s="1339"/>
      <c r="AJ510" s="1339"/>
      <c r="AK510" s="1772"/>
      <c r="AZ510" s="3"/>
      <c r="BA510" s="3"/>
      <c r="BB510" s="3"/>
      <c r="BC510" s="3"/>
      <c r="BD510" s="3"/>
      <c r="BE510" s="3"/>
      <c r="BF510" s="3"/>
      <c r="BG510" s="3"/>
      <c r="BH510" s="3"/>
      <c r="BI510" s="3"/>
      <c r="BJ510" s="3"/>
      <c r="BK510" s="3"/>
      <c r="BL510" s="3"/>
      <c r="BM510" s="3"/>
      <c r="BN510" s="3"/>
    </row>
    <row r="511" spans="1:66" ht="12.95" customHeight="1">
      <c r="B511" s="870"/>
      <c r="C511" s="130"/>
      <c r="D511" s="130"/>
      <c r="E511" s="130"/>
      <c r="F511" s="130"/>
      <c r="G511" s="130"/>
      <c r="H511" s="871"/>
      <c r="I511" t="s">
        <v>1674</v>
      </c>
      <c r="AC511" s="889"/>
      <c r="AD511" s="890"/>
      <c r="AE511" s="890"/>
      <c r="AF511" s="891"/>
      <c r="AG511" s="13"/>
      <c r="AH511" s="1"/>
      <c r="AI511" s="1"/>
      <c r="AJ511" s="1"/>
      <c r="AK511" s="1005"/>
      <c r="AZ511" s="3"/>
      <c r="BA511" s="3"/>
      <c r="BB511" s="3"/>
      <c r="BC511" s="3"/>
      <c r="BD511" s="3"/>
      <c r="BE511" s="3"/>
      <c r="BF511" s="3"/>
      <c r="BG511" s="3"/>
      <c r="BH511" s="3"/>
      <c r="BI511" s="3"/>
      <c r="BJ511" s="3"/>
      <c r="BK511" s="3"/>
      <c r="BL511" s="3"/>
      <c r="BM511" s="3"/>
      <c r="BN511" s="3"/>
    </row>
    <row r="512" spans="1:66" ht="12.95" customHeight="1">
      <c r="B512" s="870"/>
      <c r="C512" s="130"/>
      <c r="D512" s="130"/>
      <c r="E512" s="130"/>
      <c r="F512" s="130"/>
      <c r="G512" s="130"/>
      <c r="H512" s="871"/>
      <c r="I512" s="896" t="s">
        <v>1675</v>
      </c>
      <c r="J512" s="48"/>
      <c r="K512" s="48"/>
      <c r="L512" s="48"/>
      <c r="M512" s="48"/>
      <c r="N512" s="48"/>
      <c r="O512" s="48"/>
      <c r="P512" s="48"/>
      <c r="Q512" s="48"/>
      <c r="R512" s="48"/>
      <c r="S512" s="48"/>
      <c r="T512" s="48"/>
      <c r="U512" s="48"/>
      <c r="V512" s="48"/>
      <c r="W512" s="48"/>
      <c r="X512" s="48"/>
      <c r="Y512" s="48"/>
      <c r="Z512" s="48"/>
      <c r="AA512" s="48"/>
      <c r="AB512" s="48"/>
      <c r="AC512" s="1843" t="s">
        <v>2706</v>
      </c>
      <c r="AD512" s="1844"/>
      <c r="AE512" s="1844"/>
      <c r="AF512" s="1845"/>
      <c r="AG512" s="38"/>
      <c r="AH512" s="1763"/>
      <c r="AI512" s="1763"/>
      <c r="AJ512" s="1763"/>
      <c r="AK512" s="1764"/>
      <c r="AZ512" s="3"/>
      <c r="BA512" s="3"/>
      <c r="BB512" s="3"/>
      <c r="BC512" s="3"/>
      <c r="BD512" s="3"/>
      <c r="BE512" s="3"/>
      <c r="BF512" s="3"/>
      <c r="BG512" s="3"/>
      <c r="BH512" s="3"/>
      <c r="BI512" s="3"/>
      <c r="BJ512" s="3"/>
      <c r="BK512" s="3"/>
      <c r="BL512" s="3"/>
      <c r="BM512" s="3"/>
      <c r="BN512" s="3" t="s">
        <v>1185</v>
      </c>
    </row>
    <row r="513" spans="2:66" ht="12.95" customHeight="1">
      <c r="B513" s="870"/>
      <c r="C513" s="130"/>
      <c r="D513" s="130"/>
      <c r="E513" s="130"/>
      <c r="F513" s="130"/>
      <c r="G513" s="130"/>
      <c r="H513" s="871"/>
      <c r="I513" s="3"/>
      <c r="L513" s="8"/>
      <c r="M513" s="8"/>
      <c r="N513" s="8"/>
      <c r="O513" s="8"/>
      <c r="P513" s="8"/>
      <c r="Q513" s="8"/>
      <c r="R513" s="8"/>
      <c r="S513" s="8"/>
      <c r="T513" s="8"/>
      <c r="U513" s="8"/>
      <c r="V513" s="8"/>
      <c r="W513" s="8"/>
      <c r="X513" s="1006"/>
      <c r="Y513" s="1006"/>
      <c r="Z513" s="1006"/>
      <c r="AA513" s="1006"/>
      <c r="AB513" s="1013"/>
      <c r="AC513" s="1458" t="s">
        <v>402</v>
      </c>
      <c r="AD513" s="1459"/>
      <c r="AE513" s="1459"/>
      <c r="AF513" s="1459"/>
      <c r="AG513" s="38" t="s">
        <v>403</v>
      </c>
      <c r="AH513" s="1459" t="s">
        <v>404</v>
      </c>
      <c r="AI513" s="1459"/>
      <c r="AJ513" s="1459"/>
      <c r="AK513" s="1756"/>
      <c r="AZ513" s="3"/>
      <c r="BA513" s="3"/>
      <c r="BB513" s="3"/>
      <c r="BC513" s="3"/>
      <c r="BD513" s="3"/>
      <c r="BE513" s="3"/>
      <c r="BF513" s="3"/>
      <c r="BG513" s="3"/>
      <c r="BH513" s="3"/>
      <c r="BI513" s="3"/>
      <c r="BJ513" s="3"/>
      <c r="BK513" s="3"/>
      <c r="BL513" s="3"/>
      <c r="BM513" s="3"/>
      <c r="BN513" s="3" t="s">
        <v>2106</v>
      </c>
    </row>
    <row r="514" spans="2:66" ht="12.95" customHeight="1">
      <c r="B514" s="1739" t="s">
        <v>414</v>
      </c>
      <c r="C514" s="1435"/>
      <c r="D514" s="1435"/>
      <c r="E514" s="1435"/>
      <c r="F514" s="1435"/>
      <c r="G514" s="1435"/>
      <c r="H514" s="1436"/>
      <c r="I514" s="42" t="s">
        <v>415</v>
      </c>
      <c r="J514" s="42"/>
      <c r="K514" s="42"/>
      <c r="L514" s="42"/>
      <c r="M514" s="42"/>
      <c r="N514" s="42"/>
      <c r="O514" s="42"/>
      <c r="P514" s="42"/>
      <c r="Q514" s="42"/>
      <c r="R514" s="42"/>
      <c r="S514" s="42"/>
      <c r="T514" s="42"/>
      <c r="U514" s="42"/>
      <c r="V514" s="42"/>
      <c r="W514" s="42"/>
      <c r="AC514" s="1456">
        <v>5</v>
      </c>
      <c r="AD514" s="1457"/>
      <c r="AE514" s="1457"/>
      <c r="AF514" s="1457"/>
      <c r="AG514" s="13" t="s">
        <v>403</v>
      </c>
      <c r="AH514" s="1407">
        <v>2025</v>
      </c>
      <c r="AI514" s="1407"/>
      <c r="AJ514" s="1407"/>
      <c r="AK514" s="1408"/>
      <c r="AZ514" s="3"/>
      <c r="BA514" s="3"/>
      <c r="BB514" s="3"/>
      <c r="BC514" s="3"/>
      <c r="BD514" s="3"/>
      <c r="BE514" s="3"/>
      <c r="BF514" s="3"/>
      <c r="BG514" s="3"/>
      <c r="BH514" s="3"/>
      <c r="BI514" s="3"/>
      <c r="BJ514" s="3"/>
      <c r="BK514" s="3"/>
      <c r="BL514" s="3"/>
      <c r="BM514" s="3"/>
      <c r="BN514" s="3" t="s">
        <v>2107</v>
      </c>
    </row>
    <row r="515" spans="2:66" ht="12.95" customHeight="1">
      <c r="B515" s="1740"/>
      <c r="C515" s="1437"/>
      <c r="D515" s="1437"/>
      <c r="E515" s="1437"/>
      <c r="F515" s="1437"/>
      <c r="G515" s="1437"/>
      <c r="H515" s="1438"/>
      <c r="I515" t="s">
        <v>416</v>
      </c>
      <c r="AC515" s="1456">
        <v>5</v>
      </c>
      <c r="AD515" s="1457"/>
      <c r="AE515" s="1457"/>
      <c r="AF515" s="1457"/>
      <c r="AG515" s="13" t="s">
        <v>403</v>
      </c>
      <c r="AH515" s="1407">
        <v>2025</v>
      </c>
      <c r="AI515" s="1407"/>
      <c r="AJ515" s="1407"/>
      <c r="AK515" s="1408"/>
      <c r="AZ515" s="3"/>
      <c r="BA515" s="3"/>
      <c r="BB515" s="3"/>
      <c r="BC515" s="3"/>
      <c r="BD515" s="3"/>
      <c r="BE515" s="3"/>
      <c r="BF515" s="3"/>
      <c r="BG515" s="3"/>
      <c r="BH515" s="3"/>
      <c r="BI515" s="3"/>
      <c r="BJ515" s="3"/>
      <c r="BK515" s="3"/>
      <c r="BL515" s="3"/>
      <c r="BM515" s="3"/>
      <c r="BN515" s="3" t="s">
        <v>2108</v>
      </c>
    </row>
    <row r="516" spans="2:66" ht="12.95" customHeight="1">
      <c r="B516" s="1740"/>
      <c r="C516" s="1437"/>
      <c r="D516" s="1437"/>
      <c r="E516" s="1437"/>
      <c r="F516" s="1437"/>
      <c r="G516" s="1437"/>
      <c r="H516" s="1438"/>
      <c r="I516" s="48" t="s">
        <v>417</v>
      </c>
      <c r="J516" s="48"/>
      <c r="K516" s="48"/>
      <c r="L516" s="48"/>
      <c r="M516" s="48"/>
      <c r="N516" s="48"/>
      <c r="O516" s="48"/>
      <c r="P516" s="48"/>
      <c r="Q516" s="48"/>
      <c r="R516" s="48"/>
      <c r="S516" s="48"/>
      <c r="T516" s="48"/>
      <c r="U516" s="48"/>
      <c r="V516" s="48"/>
      <c r="W516" s="48"/>
      <c r="X516" s="48"/>
      <c r="Y516" s="48"/>
      <c r="Z516" s="48"/>
      <c r="AA516" s="48"/>
      <c r="AB516" s="48"/>
      <c r="AC516" s="1456">
        <v>1</v>
      </c>
      <c r="AD516" s="1457"/>
      <c r="AE516" s="1457"/>
      <c r="AF516" s="1457"/>
      <c r="AG516" s="38" t="s">
        <v>403</v>
      </c>
      <c r="AH516" s="1407">
        <v>2026</v>
      </c>
      <c r="AI516" s="1407"/>
      <c r="AJ516" s="1407"/>
      <c r="AK516" s="1408"/>
      <c r="AZ516" s="3"/>
      <c r="BA516" s="3"/>
      <c r="BB516" s="3"/>
      <c r="BC516" s="3"/>
      <c r="BD516" s="3"/>
      <c r="BE516" s="3"/>
      <c r="BF516" s="3"/>
      <c r="BG516" s="3"/>
      <c r="BH516" s="3"/>
      <c r="BI516" s="3"/>
      <c r="BJ516" s="3"/>
      <c r="BK516" s="3"/>
      <c r="BL516" s="3"/>
      <c r="BM516" s="3"/>
      <c r="BN516" s="3" t="s">
        <v>2109</v>
      </c>
    </row>
    <row r="517" spans="2:66" ht="12.95" customHeight="1">
      <c r="B517" s="1739" t="s">
        <v>418</v>
      </c>
      <c r="C517" s="1435"/>
      <c r="D517" s="1435"/>
      <c r="E517" s="1435"/>
      <c r="F517" s="1435"/>
      <c r="G517" s="1435"/>
      <c r="H517" s="1436"/>
      <c r="I517" s="42" t="s">
        <v>415</v>
      </c>
      <c r="J517" s="42"/>
      <c r="K517" s="42"/>
      <c r="L517" s="42"/>
      <c r="M517" s="42"/>
      <c r="N517" s="42"/>
      <c r="O517" s="42"/>
      <c r="P517" s="42"/>
      <c r="Q517" s="42"/>
      <c r="R517" s="42"/>
      <c r="S517" s="42"/>
      <c r="T517" s="42"/>
      <c r="U517" s="42"/>
      <c r="V517" s="42"/>
      <c r="W517" s="42"/>
      <c r="X517" s="42"/>
      <c r="Y517" s="42"/>
      <c r="Z517" s="42"/>
      <c r="AA517" s="42"/>
      <c r="AB517" s="42"/>
      <c r="AC517" s="1350">
        <v>5</v>
      </c>
      <c r="AD517" s="1351"/>
      <c r="AE517" s="1351"/>
      <c r="AF517" s="1351"/>
      <c r="AG517" s="129" t="s">
        <v>403</v>
      </c>
      <c r="AH517" s="1407">
        <v>2025</v>
      </c>
      <c r="AI517" s="1407"/>
      <c r="AJ517" s="1407"/>
      <c r="AK517" s="1408"/>
      <c r="AZ517" s="3"/>
      <c r="BB517" s="3"/>
      <c r="BC517" s="3"/>
      <c r="BD517" s="3"/>
      <c r="BE517" s="3"/>
      <c r="BF517" s="3"/>
      <c r="BG517" s="3"/>
      <c r="BH517" s="3"/>
      <c r="BI517" s="3"/>
      <c r="BJ517" s="3"/>
      <c r="BK517" s="3"/>
      <c r="BL517" s="3"/>
      <c r="BM517" s="3"/>
      <c r="BN517" s="3" t="s">
        <v>2110</v>
      </c>
    </row>
    <row r="518" spans="2:66" ht="12.95" customHeight="1">
      <c r="B518" s="1740"/>
      <c r="C518" s="1437"/>
      <c r="D518" s="1437"/>
      <c r="E518" s="1437"/>
      <c r="F518" s="1437"/>
      <c r="G518" s="1437"/>
      <c r="H518" s="1438"/>
      <c r="I518" t="s">
        <v>416</v>
      </c>
      <c r="AC518" s="1456">
        <v>5</v>
      </c>
      <c r="AD518" s="1457"/>
      <c r="AE518" s="1457"/>
      <c r="AF518" s="1457"/>
      <c r="AG518" s="13" t="s">
        <v>403</v>
      </c>
      <c r="AH518" s="1407">
        <v>2025</v>
      </c>
      <c r="AI518" s="1407"/>
      <c r="AJ518" s="1407"/>
      <c r="AK518" s="1408"/>
      <c r="BB518" s="3"/>
      <c r="BC518" s="3"/>
      <c r="BD518" s="3"/>
      <c r="BE518" s="3"/>
      <c r="BF518" s="3"/>
      <c r="BG518" s="3"/>
      <c r="BH518" s="3"/>
      <c r="BI518" s="3"/>
      <c r="BJ518" s="3"/>
      <c r="BK518" s="3"/>
      <c r="BL518" s="3"/>
      <c r="BM518" s="3"/>
      <c r="BN518" s="3" t="s">
        <v>2111</v>
      </c>
    </row>
    <row r="519" spans="2:66" ht="12.95" customHeight="1">
      <c r="B519" s="1741"/>
      <c r="C519" s="1439"/>
      <c r="D519" s="1439"/>
      <c r="E519" s="1439"/>
      <c r="F519" s="1439"/>
      <c r="G519" s="1439"/>
      <c r="H519" s="1440"/>
      <c r="I519" s="48" t="s">
        <v>417</v>
      </c>
      <c r="J519" s="48"/>
      <c r="K519" s="48"/>
      <c r="L519" s="48"/>
      <c r="M519" s="48"/>
      <c r="N519" s="48"/>
      <c r="O519" s="48"/>
      <c r="P519" s="48"/>
      <c r="Q519" s="48"/>
      <c r="R519" s="48"/>
      <c r="S519" s="48"/>
      <c r="T519" s="48"/>
      <c r="U519" s="48"/>
      <c r="V519" s="48"/>
      <c r="W519" s="48"/>
      <c r="X519" s="48"/>
      <c r="Y519" s="48"/>
      <c r="Z519" s="48"/>
      <c r="AA519" s="48"/>
      <c r="AB519" s="48"/>
      <c r="AC519" s="1456">
        <v>1</v>
      </c>
      <c r="AD519" s="1457"/>
      <c r="AE519" s="1457"/>
      <c r="AF519" s="1457"/>
      <c r="AG519" s="38" t="s">
        <v>403</v>
      </c>
      <c r="AH519" s="1407">
        <v>2026</v>
      </c>
      <c r="AI519" s="1407"/>
      <c r="AJ519" s="1407"/>
      <c r="AK519" s="1408"/>
      <c r="BB519" s="3"/>
      <c r="BC519" s="3"/>
      <c r="BD519" s="3"/>
      <c r="BE519" s="3"/>
      <c r="BF519" s="3"/>
      <c r="BG519" s="3"/>
      <c r="BH519" s="3"/>
      <c r="BI519" s="3"/>
      <c r="BJ519" s="3"/>
      <c r="BK519" s="3"/>
      <c r="BL519" s="3"/>
      <c r="BM519" s="3"/>
      <c r="BN519" s="3" t="s">
        <v>2112</v>
      </c>
    </row>
    <row r="520" spans="2:66" ht="12.95" customHeight="1">
      <c r="B520" s="1739" t="s">
        <v>419</v>
      </c>
      <c r="C520" s="1435"/>
      <c r="D520" s="1435"/>
      <c r="E520" s="1435"/>
      <c r="F520" s="1435"/>
      <c r="G520" s="1435"/>
      <c r="H520" s="1436"/>
      <c r="I520" s="41" t="s">
        <v>420</v>
      </c>
      <c r="J520" s="42"/>
      <c r="K520" s="42"/>
      <c r="L520" s="42"/>
      <c r="M520" s="42"/>
      <c r="N520" s="42"/>
      <c r="O520" s="1754" t="s">
        <v>2705</v>
      </c>
      <c r="P520" s="1755"/>
      <c r="Q520" s="1755"/>
      <c r="R520" s="1755"/>
      <c r="S520" s="1755"/>
      <c r="T520" s="1755"/>
      <c r="U520" s="1755"/>
      <c r="V520" s="1755"/>
      <c r="W520" s="1755"/>
      <c r="X520" s="1755"/>
      <c r="Y520" s="1755"/>
      <c r="Z520" s="1755"/>
      <c r="AA520" s="1755"/>
      <c r="AB520" s="58"/>
      <c r="AC520" s="1350" t="s">
        <v>592</v>
      </c>
      <c r="AD520" s="1351"/>
      <c r="AE520" s="1351"/>
      <c r="AF520" s="1351"/>
      <c r="AG520" s="129" t="s">
        <v>403</v>
      </c>
      <c r="AH520" s="1407"/>
      <c r="AI520" s="1407"/>
      <c r="AJ520" s="1407"/>
      <c r="AK520" s="1408"/>
      <c r="AZ520" s="3"/>
      <c r="BB520" s="3"/>
      <c r="BC520" s="3"/>
      <c r="BD520" s="3"/>
      <c r="BE520" s="3"/>
      <c r="BF520" s="3"/>
      <c r="BG520" s="3"/>
      <c r="BH520" s="3"/>
      <c r="BI520" s="3"/>
      <c r="BJ520" s="3"/>
      <c r="BK520" s="3"/>
      <c r="BL520" s="3"/>
      <c r="BM520" s="3"/>
      <c r="BN520" s="3" t="s">
        <v>2113</v>
      </c>
    </row>
    <row r="521" spans="2:66" ht="12.95" customHeight="1">
      <c r="B521" s="1740"/>
      <c r="C521" s="1437"/>
      <c r="D521" s="1437"/>
      <c r="E521" s="1437"/>
      <c r="F521" s="1437"/>
      <c r="G521" s="1437"/>
      <c r="H521" s="1438"/>
      <c r="I521" s="114" t="s">
        <v>421</v>
      </c>
      <c r="AB521" s="65"/>
      <c r="AC521" s="1456">
        <v>12</v>
      </c>
      <c r="AD521" s="1457"/>
      <c r="AE521" s="1457"/>
      <c r="AF521" s="1457"/>
      <c r="AG521" s="13" t="s">
        <v>403</v>
      </c>
      <c r="AH521" s="1407">
        <v>2021</v>
      </c>
      <c r="AI521" s="1407"/>
      <c r="AJ521" s="1407"/>
      <c r="AK521" s="1408"/>
      <c r="AZ521" s="3"/>
      <c r="BB521" s="3"/>
      <c r="BC521" s="3"/>
      <c r="BD521" s="3"/>
      <c r="BE521" s="3"/>
      <c r="BF521" s="3"/>
      <c r="BG521" s="3"/>
      <c r="BH521" s="3"/>
      <c r="BI521" s="3"/>
      <c r="BJ521" s="3"/>
      <c r="BK521" s="3"/>
      <c r="BL521" s="3"/>
      <c r="BM521" s="3"/>
      <c r="BN521" s="3" t="s">
        <v>2114</v>
      </c>
    </row>
    <row r="522" spans="2:66" ht="12.95" customHeight="1">
      <c r="B522" s="1740"/>
      <c r="C522" s="1437"/>
      <c r="D522" s="1437"/>
      <c r="E522" s="1437"/>
      <c r="F522" s="1437"/>
      <c r="G522" s="1437"/>
      <c r="H522" s="1438"/>
      <c r="I522" s="47" t="s">
        <v>422</v>
      </c>
      <c r="J522" s="48"/>
      <c r="K522" s="48"/>
      <c r="L522" s="48"/>
      <c r="M522" s="48"/>
      <c r="N522" s="48"/>
      <c r="O522" s="48"/>
      <c r="P522" s="48"/>
      <c r="Q522" s="48"/>
      <c r="R522" s="48"/>
      <c r="S522" s="48"/>
      <c r="T522" s="48"/>
      <c r="U522" s="48"/>
      <c r="V522" s="48"/>
      <c r="W522" s="48"/>
      <c r="X522" s="48"/>
      <c r="Y522" s="48"/>
      <c r="Z522" s="48"/>
      <c r="AA522" s="48"/>
      <c r="AB522" s="49"/>
      <c r="AC522" s="1456">
        <v>5</v>
      </c>
      <c r="AD522" s="1457"/>
      <c r="AE522" s="1457"/>
      <c r="AF522" s="1457"/>
      <c r="AG522" s="38" t="s">
        <v>403</v>
      </c>
      <c r="AH522" s="1407">
        <v>2022</v>
      </c>
      <c r="AI522" s="1407"/>
      <c r="AJ522" s="1407"/>
      <c r="AK522" s="1408"/>
      <c r="AZ522" s="3"/>
      <c r="BA522" s="3"/>
      <c r="BB522" s="3"/>
      <c r="BC522" s="3"/>
      <c r="BD522" s="3"/>
      <c r="BE522" s="3"/>
      <c r="BF522" s="3"/>
      <c r="BG522" s="3"/>
      <c r="BH522" s="3"/>
      <c r="BI522" s="3"/>
      <c r="BJ522" s="3"/>
      <c r="BK522" s="3"/>
      <c r="BL522" s="3"/>
      <c r="BM522" s="3"/>
      <c r="BN522" s="3" t="s">
        <v>2115</v>
      </c>
    </row>
    <row r="523" spans="2:66" ht="12.95" customHeight="1">
      <c r="B523" s="1740"/>
      <c r="C523" s="1437"/>
      <c r="D523" s="1437"/>
      <c r="E523" s="1437"/>
      <c r="F523" s="1437"/>
      <c r="G523" s="1437"/>
      <c r="H523" s="1438"/>
      <c r="I523" s="42" t="s">
        <v>423</v>
      </c>
      <c r="J523" s="42"/>
      <c r="K523" s="42"/>
      <c r="L523" s="42"/>
      <c r="M523" s="42"/>
      <c r="N523" s="42"/>
      <c r="O523" s="1754" t="s">
        <v>2745</v>
      </c>
      <c r="P523" s="1755"/>
      <c r="Q523" s="1755"/>
      <c r="R523" s="1755"/>
      <c r="S523" s="1755"/>
      <c r="T523" s="1755"/>
      <c r="U523" s="1755"/>
      <c r="V523" s="1755"/>
      <c r="W523" s="1755"/>
      <c r="X523" s="1755"/>
      <c r="Y523" s="1755"/>
      <c r="Z523" s="1755"/>
      <c r="AA523" s="1755"/>
      <c r="AC523" s="1456" t="s">
        <v>592</v>
      </c>
      <c r="AD523" s="1457"/>
      <c r="AE523" s="1457"/>
      <c r="AF523" s="1457"/>
      <c r="AG523" s="13" t="s">
        <v>403</v>
      </c>
      <c r="AH523" s="1407"/>
      <c r="AI523" s="1407"/>
      <c r="AJ523" s="1407"/>
      <c r="AK523" s="1408"/>
      <c r="AZ523" s="3"/>
      <c r="BA523" s="3"/>
      <c r="BB523" s="3"/>
      <c r="BC523" s="3"/>
      <c r="BD523" s="3"/>
      <c r="BE523" s="3"/>
      <c r="BF523" s="3"/>
      <c r="BG523" s="3"/>
      <c r="BH523" s="3"/>
      <c r="BI523" s="3"/>
      <c r="BJ523" s="3"/>
      <c r="BK523" s="3"/>
      <c r="BL523" s="3"/>
      <c r="BM523" s="3"/>
      <c r="BN523" s="3" t="s">
        <v>2116</v>
      </c>
    </row>
    <row r="524" spans="2:66" ht="12.95" customHeight="1">
      <c r="B524" s="1740"/>
      <c r="C524" s="1437"/>
      <c r="D524" s="1437"/>
      <c r="E524" s="1437"/>
      <c r="F524" s="1437"/>
      <c r="G524" s="1437"/>
      <c r="H524" s="1438"/>
      <c r="I524" t="s">
        <v>421</v>
      </c>
      <c r="AC524" s="1456">
        <v>4</v>
      </c>
      <c r="AD524" s="1457"/>
      <c r="AE524" s="1457"/>
      <c r="AF524" s="1457"/>
      <c r="AG524" s="13" t="s">
        <v>403</v>
      </c>
      <c r="AH524" s="1407">
        <v>2024</v>
      </c>
      <c r="AI524" s="1407"/>
      <c r="AJ524" s="1407"/>
      <c r="AK524" s="1408"/>
      <c r="AZ524" s="3"/>
      <c r="BA524" s="3"/>
      <c r="BB524" s="3"/>
      <c r="BC524" s="3"/>
      <c r="BD524" s="3"/>
      <c r="BE524" s="3"/>
      <c r="BF524" s="3"/>
      <c r="BG524" s="3"/>
      <c r="BH524" s="3"/>
      <c r="BI524" s="3"/>
      <c r="BJ524" s="3"/>
      <c r="BK524" s="3"/>
      <c r="BL524" s="3"/>
      <c r="BM524" s="3"/>
      <c r="BN524" s="3" t="s">
        <v>2117</v>
      </c>
    </row>
    <row r="525" spans="2:66" ht="12.95" customHeight="1">
      <c r="B525" s="1740"/>
      <c r="C525" s="1437"/>
      <c r="D525" s="1437"/>
      <c r="E525" s="1437"/>
      <c r="F525" s="1437"/>
      <c r="G525" s="1437"/>
      <c r="H525" s="1438"/>
      <c r="I525" s="48" t="s">
        <v>422</v>
      </c>
      <c r="J525" s="48"/>
      <c r="K525" s="48"/>
      <c r="L525" s="48"/>
      <c r="M525" s="48"/>
      <c r="N525" s="48"/>
      <c r="O525" s="48"/>
      <c r="P525" s="48"/>
      <c r="Q525" s="48"/>
      <c r="R525" s="48"/>
      <c r="S525" s="48"/>
      <c r="T525" s="48"/>
      <c r="U525" s="48"/>
      <c r="V525" s="48"/>
      <c r="W525" s="48"/>
      <c r="X525" s="48"/>
      <c r="Y525" s="48"/>
      <c r="Z525" s="48"/>
      <c r="AA525" s="48"/>
      <c r="AB525" s="48"/>
      <c r="AC525" s="1456">
        <v>8</v>
      </c>
      <c r="AD525" s="1457"/>
      <c r="AE525" s="1457"/>
      <c r="AF525" s="1457"/>
      <c r="AG525" s="38" t="s">
        <v>403</v>
      </c>
      <c r="AH525" s="1407">
        <v>2024</v>
      </c>
      <c r="AI525" s="1407"/>
      <c r="AJ525" s="1407"/>
      <c r="AK525" s="1408"/>
      <c r="AZ525" s="3"/>
      <c r="BA525" s="3"/>
      <c r="BB525" s="3"/>
      <c r="BC525" s="3"/>
      <c r="BD525" s="3"/>
      <c r="BE525" s="3"/>
      <c r="BF525" s="3"/>
      <c r="BG525" s="3"/>
      <c r="BH525" s="3"/>
      <c r="BI525" s="3"/>
      <c r="BJ525" s="3"/>
      <c r="BK525" s="3"/>
      <c r="BL525" s="3"/>
      <c r="BM525" s="3"/>
      <c r="BN525" s="3" t="s">
        <v>2118</v>
      </c>
    </row>
    <row r="526" spans="2:66" ht="12.95" customHeight="1">
      <c r="B526" s="1740"/>
      <c r="C526" s="1437"/>
      <c r="D526" s="1437"/>
      <c r="E526" s="1437"/>
      <c r="F526" s="1437"/>
      <c r="G526" s="1437"/>
      <c r="H526" s="1438"/>
      <c r="I526" s="42" t="s">
        <v>423</v>
      </c>
      <c r="J526" s="42"/>
      <c r="K526" s="42"/>
      <c r="L526" s="42"/>
      <c r="M526" s="42"/>
      <c r="N526" s="42"/>
      <c r="O526" s="1754" t="s">
        <v>2707</v>
      </c>
      <c r="P526" s="1755"/>
      <c r="Q526" s="1755"/>
      <c r="R526" s="1755"/>
      <c r="S526" s="1755"/>
      <c r="T526" s="1755"/>
      <c r="U526" s="1755"/>
      <c r="V526" s="1755"/>
      <c r="W526" s="1755"/>
      <c r="X526" s="1755"/>
      <c r="Y526" s="1755"/>
      <c r="Z526" s="1755"/>
      <c r="AA526" s="1755"/>
      <c r="AC526" s="1456" t="s">
        <v>592</v>
      </c>
      <c r="AD526" s="1457"/>
      <c r="AE526" s="1457"/>
      <c r="AF526" s="1457"/>
      <c r="AG526" s="13" t="s">
        <v>403</v>
      </c>
      <c r="AH526" s="1407"/>
      <c r="AI526" s="1407"/>
      <c r="AJ526" s="1407"/>
      <c r="AK526" s="1408"/>
      <c r="AZ526" s="3"/>
      <c r="BA526" s="3"/>
      <c r="BB526" s="3"/>
      <c r="BC526" s="3"/>
      <c r="BD526" s="3"/>
      <c r="BE526" s="3"/>
      <c r="BF526" s="3"/>
      <c r="BG526" s="3"/>
      <c r="BH526" s="3"/>
      <c r="BI526" s="3"/>
      <c r="BJ526" s="3"/>
      <c r="BK526" s="3"/>
      <c r="BL526" s="3"/>
      <c r="BM526" s="3"/>
      <c r="BN526" s="3" t="s">
        <v>2119</v>
      </c>
    </row>
    <row r="527" spans="2:66" ht="12.95" customHeight="1">
      <c r="B527" s="1740"/>
      <c r="C527" s="1437"/>
      <c r="D527" s="1437"/>
      <c r="E527" s="1437"/>
      <c r="F527" s="1437"/>
      <c r="G527" s="1437"/>
      <c r="H527" s="1438"/>
      <c r="I527" t="s">
        <v>421</v>
      </c>
      <c r="AC527" s="1456">
        <v>3</v>
      </c>
      <c r="AD527" s="1457"/>
      <c r="AE527" s="1457"/>
      <c r="AF527" s="1457"/>
      <c r="AG527" s="13" t="s">
        <v>403</v>
      </c>
      <c r="AH527" s="1407">
        <v>2025</v>
      </c>
      <c r="AI527" s="1407"/>
      <c r="AJ527" s="1407"/>
      <c r="AK527" s="1408"/>
      <c r="AZ527" s="3"/>
      <c r="BA527" s="3"/>
      <c r="BB527" s="3"/>
      <c r="BC527" s="3"/>
      <c r="BD527" s="3"/>
      <c r="BE527" s="3"/>
      <c r="BF527" s="3"/>
      <c r="BG527" s="3"/>
      <c r="BH527" s="3"/>
      <c r="BI527" s="3"/>
      <c r="BJ527" s="3"/>
      <c r="BK527" s="3"/>
      <c r="BL527" s="3"/>
      <c r="BM527" s="3"/>
      <c r="BN527" s="3" t="s">
        <v>2120</v>
      </c>
    </row>
    <row r="528" spans="2:66" ht="12.95" customHeight="1">
      <c r="B528" s="1740"/>
      <c r="C528" s="1437"/>
      <c r="D528" s="1437"/>
      <c r="E528" s="1437"/>
      <c r="F528" s="1437"/>
      <c r="G528" s="1437"/>
      <c r="H528" s="1438"/>
      <c r="I528" s="48" t="s">
        <v>422</v>
      </c>
      <c r="J528" s="48"/>
      <c r="K528" s="48"/>
      <c r="L528" s="48"/>
      <c r="M528" s="48"/>
      <c r="N528" s="48"/>
      <c r="O528" s="48"/>
      <c r="P528" s="48"/>
      <c r="Q528" s="48"/>
      <c r="R528" s="48"/>
      <c r="S528" s="48"/>
      <c r="T528" s="48"/>
      <c r="U528" s="48"/>
      <c r="V528" s="48"/>
      <c r="W528" s="48"/>
      <c r="X528" s="48"/>
      <c r="Y528" s="48"/>
      <c r="Z528" s="48"/>
      <c r="AA528" s="48"/>
      <c r="AB528" s="48"/>
      <c r="AC528" s="1456">
        <v>4</v>
      </c>
      <c r="AD528" s="1457"/>
      <c r="AE528" s="1457"/>
      <c r="AF528" s="1457"/>
      <c r="AG528" s="38" t="s">
        <v>403</v>
      </c>
      <c r="AH528" s="1407">
        <v>2025</v>
      </c>
      <c r="AI528" s="1407"/>
      <c r="AJ528" s="1407"/>
      <c r="AK528" s="1408"/>
      <c r="AZ528" s="3"/>
      <c r="BA528" s="3"/>
      <c r="BB528" s="3"/>
      <c r="BC528" s="3"/>
      <c r="BD528" s="3"/>
      <c r="BE528" s="3"/>
      <c r="BF528" s="3"/>
      <c r="BG528" s="3"/>
      <c r="BH528" s="3"/>
      <c r="BI528" s="3"/>
      <c r="BJ528" s="3"/>
      <c r="BK528" s="3"/>
      <c r="BL528" s="3"/>
      <c r="BM528" s="3"/>
      <c r="BN528" s="3" t="s">
        <v>2121</v>
      </c>
    </row>
    <row r="529" spans="1:66" ht="12.95" customHeight="1">
      <c r="B529" s="1740"/>
      <c r="C529" s="1437"/>
      <c r="D529" s="1437"/>
      <c r="E529" s="1437"/>
      <c r="F529" s="1437"/>
      <c r="G529" s="1437"/>
      <c r="H529" s="1438"/>
      <c r="I529" s="42" t="s">
        <v>423</v>
      </c>
      <c r="J529" s="42"/>
      <c r="K529" s="42"/>
      <c r="L529" s="42"/>
      <c r="M529" s="42"/>
      <c r="N529" s="42"/>
      <c r="O529" s="1754" t="s">
        <v>334</v>
      </c>
      <c r="P529" s="1755"/>
      <c r="Q529" s="1755"/>
      <c r="R529" s="1755"/>
      <c r="S529" s="1755"/>
      <c r="T529" s="1755"/>
      <c r="U529" s="1755"/>
      <c r="V529" s="1755"/>
      <c r="W529" s="1755"/>
      <c r="X529" s="1755"/>
      <c r="Y529" s="1755"/>
      <c r="Z529" s="1755"/>
      <c r="AA529" s="1755"/>
      <c r="AC529" s="1456" t="s">
        <v>592</v>
      </c>
      <c r="AD529" s="1457"/>
      <c r="AE529" s="1457"/>
      <c r="AF529" s="1457"/>
      <c r="AG529" s="13" t="s">
        <v>403</v>
      </c>
      <c r="AH529" s="1407"/>
      <c r="AI529" s="1407"/>
      <c r="AJ529" s="1407"/>
      <c r="AK529" s="1408"/>
      <c r="AZ529" s="3"/>
      <c r="BA529" s="3"/>
      <c r="BB529" s="3"/>
      <c r="BC529" s="3"/>
      <c r="BD529" s="3"/>
      <c r="BE529" s="3"/>
      <c r="BF529" s="3"/>
      <c r="BG529" s="3"/>
      <c r="BH529" s="3"/>
      <c r="BI529" s="3"/>
      <c r="BJ529" s="3"/>
      <c r="BK529" s="3"/>
      <c r="BL529" s="3"/>
      <c r="BM529" s="3"/>
      <c r="BN529" s="3" t="s">
        <v>2122</v>
      </c>
    </row>
    <row r="530" spans="1:66" ht="12.95" customHeight="1">
      <c r="B530" s="1740"/>
      <c r="C530" s="1437"/>
      <c r="D530" s="1437"/>
      <c r="E530" s="1437"/>
      <c r="F530" s="1437"/>
      <c r="G530" s="1437"/>
      <c r="H530" s="1438"/>
      <c r="I530" t="s">
        <v>421</v>
      </c>
      <c r="AC530" s="1456" t="s">
        <v>592</v>
      </c>
      <c r="AD530" s="1457"/>
      <c r="AE530" s="1457"/>
      <c r="AF530" s="1457"/>
      <c r="AG530" s="13" t="s">
        <v>403</v>
      </c>
      <c r="AH530" s="1407"/>
      <c r="AI530" s="1407"/>
      <c r="AJ530" s="1407"/>
      <c r="AK530" s="1408"/>
      <c r="AZ530" s="3"/>
      <c r="BA530" s="3"/>
      <c r="BB530" s="3"/>
      <c r="BC530" s="3"/>
      <c r="BD530" s="3"/>
      <c r="BE530" s="3"/>
      <c r="BF530" s="3"/>
      <c r="BG530" s="3"/>
      <c r="BH530" s="3"/>
      <c r="BI530" s="3"/>
      <c r="BJ530" s="3"/>
      <c r="BK530" s="3"/>
      <c r="BL530" s="3"/>
      <c r="BM530" s="3"/>
      <c r="BN530" s="3" t="s">
        <v>2123</v>
      </c>
    </row>
    <row r="531" spans="1:66" ht="12.95" customHeight="1">
      <c r="B531" s="1740"/>
      <c r="C531" s="1437"/>
      <c r="D531" s="1437"/>
      <c r="E531" s="1437"/>
      <c r="F531" s="1437"/>
      <c r="G531" s="1437"/>
      <c r="H531" s="1438"/>
      <c r="I531" s="48" t="s">
        <v>422</v>
      </c>
      <c r="J531" s="48"/>
      <c r="K531" s="48"/>
      <c r="L531" s="48"/>
      <c r="M531" s="48"/>
      <c r="N531" s="48"/>
      <c r="O531" s="48"/>
      <c r="P531" s="48"/>
      <c r="Q531" s="48"/>
      <c r="R531" s="48"/>
      <c r="S531" s="48"/>
      <c r="T531" s="48"/>
      <c r="U531" s="48"/>
      <c r="V531" s="48"/>
      <c r="W531" s="48"/>
      <c r="X531" s="48"/>
      <c r="Y531" s="48"/>
      <c r="Z531" s="48"/>
      <c r="AA531" s="48"/>
      <c r="AB531" s="48"/>
      <c r="AC531" s="1456" t="s">
        <v>592</v>
      </c>
      <c r="AD531" s="1457"/>
      <c r="AE531" s="1457"/>
      <c r="AF531" s="1457"/>
      <c r="AG531" s="38" t="s">
        <v>403</v>
      </c>
      <c r="AH531" s="1407"/>
      <c r="AI531" s="1407"/>
      <c r="AJ531" s="1407"/>
      <c r="AK531" s="1408"/>
      <c r="AZ531" s="3"/>
      <c r="BA531" s="3"/>
      <c r="BB531" s="3"/>
      <c r="BC531" s="3"/>
      <c r="BD531" s="3"/>
      <c r="BE531" s="3"/>
      <c r="BF531" s="3"/>
      <c r="BG531" s="3"/>
      <c r="BH531" s="3"/>
      <c r="BI531" s="3"/>
      <c r="BJ531" s="3"/>
      <c r="BK531" s="3"/>
      <c r="BL531" s="3"/>
      <c r="BM531" s="3"/>
      <c r="BN531" s="3" t="s">
        <v>2124</v>
      </c>
    </row>
    <row r="532" spans="1:66" ht="12.95" customHeight="1">
      <c r="B532" s="1740"/>
      <c r="C532" s="1437"/>
      <c r="D532" s="1437"/>
      <c r="E532" s="1437"/>
      <c r="F532" s="1437"/>
      <c r="G532" s="1437"/>
      <c r="H532" s="1438"/>
      <c r="I532" s="42" t="s">
        <v>423</v>
      </c>
      <c r="J532" s="42"/>
      <c r="K532" s="42"/>
      <c r="L532" s="42"/>
      <c r="M532" s="42"/>
      <c r="N532" s="42"/>
      <c r="O532" s="1754" t="s">
        <v>334</v>
      </c>
      <c r="P532" s="1755"/>
      <c r="Q532" s="1755"/>
      <c r="R532" s="1755"/>
      <c r="S532" s="1755"/>
      <c r="T532" s="1755"/>
      <c r="U532" s="1755"/>
      <c r="V532" s="1755"/>
      <c r="W532" s="1755"/>
      <c r="X532" s="1755"/>
      <c r="Y532" s="1755"/>
      <c r="Z532" s="1755"/>
      <c r="AA532" s="1755"/>
      <c r="AC532" s="1456" t="s">
        <v>592</v>
      </c>
      <c r="AD532" s="1457"/>
      <c r="AE532" s="1457"/>
      <c r="AF532" s="1457"/>
      <c r="AG532" s="13" t="s">
        <v>403</v>
      </c>
      <c r="AH532" s="1407"/>
      <c r="AI532" s="1407"/>
      <c r="AJ532" s="1407"/>
      <c r="AK532" s="1408"/>
      <c r="AZ532" s="3"/>
      <c r="BA532" s="3"/>
      <c r="BB532" s="3"/>
      <c r="BC532" s="3"/>
      <c r="BD532" s="3"/>
      <c r="BE532" s="3"/>
      <c r="BF532" s="3"/>
      <c r="BG532" s="3"/>
      <c r="BH532" s="3"/>
      <c r="BI532" s="3"/>
      <c r="BJ532" s="3"/>
      <c r="BK532" s="3"/>
      <c r="BL532" s="3"/>
      <c r="BM532" s="3"/>
      <c r="BN532" s="3" t="s">
        <v>2125</v>
      </c>
    </row>
    <row r="533" spans="1:66" ht="12.95" customHeight="1">
      <c r="B533" s="1740"/>
      <c r="C533" s="1437"/>
      <c r="D533" s="1437"/>
      <c r="E533" s="1437"/>
      <c r="F533" s="1437"/>
      <c r="G533" s="1437"/>
      <c r="H533" s="1438"/>
      <c r="I533" t="s">
        <v>421</v>
      </c>
      <c r="AC533" s="1456" t="s">
        <v>592</v>
      </c>
      <c r="AD533" s="1457"/>
      <c r="AE533" s="1457"/>
      <c r="AF533" s="1457"/>
      <c r="AG533" s="38" t="s">
        <v>403</v>
      </c>
      <c r="AH533" s="1407"/>
      <c r="AI533" s="1407"/>
      <c r="AJ533" s="1407"/>
      <c r="AK533" s="1408"/>
      <c r="AZ533" s="3"/>
      <c r="BA533" s="3"/>
      <c r="BB533" s="3"/>
      <c r="BC533" s="3"/>
      <c r="BD533" s="3"/>
      <c r="BE533" s="3"/>
      <c r="BF533" s="3"/>
      <c r="BG533" s="3"/>
      <c r="BH533" s="3"/>
      <c r="BI533" s="3"/>
      <c r="BJ533" s="3"/>
      <c r="BK533" s="3"/>
      <c r="BL533" s="3"/>
      <c r="BM533" s="3"/>
      <c r="BN533" s="3" t="s">
        <v>2126</v>
      </c>
    </row>
    <row r="534" spans="1:66" ht="12.95" customHeight="1">
      <c r="B534" s="1740"/>
      <c r="C534" s="1437"/>
      <c r="D534" s="1437"/>
      <c r="E534" s="1437"/>
      <c r="F534" s="1437"/>
      <c r="G534" s="1437"/>
      <c r="H534" s="1438"/>
      <c r="I534" s="48" t="s">
        <v>422</v>
      </c>
      <c r="J534" s="48"/>
      <c r="K534" s="48"/>
      <c r="L534" s="48"/>
      <c r="M534" s="48"/>
      <c r="N534" s="48"/>
      <c r="O534" s="48"/>
      <c r="P534" s="48"/>
      <c r="Q534" s="48"/>
      <c r="R534" s="48"/>
      <c r="S534" s="48"/>
      <c r="T534" s="48"/>
      <c r="U534" s="48"/>
      <c r="V534" s="48"/>
      <c r="W534" s="48"/>
      <c r="X534" s="48"/>
      <c r="Y534" s="48"/>
      <c r="Z534" s="48"/>
      <c r="AA534" s="48"/>
      <c r="AB534" s="48"/>
      <c r="AC534" s="1456" t="s">
        <v>592</v>
      </c>
      <c r="AD534" s="1457"/>
      <c r="AE534" s="1457"/>
      <c r="AF534" s="1457"/>
      <c r="AG534" s="13" t="s">
        <v>403</v>
      </c>
      <c r="AH534" s="1407"/>
      <c r="AI534" s="1407"/>
      <c r="AJ534" s="1407"/>
      <c r="AK534" s="1408"/>
      <c r="AZ534" s="3"/>
      <c r="BA534" s="3"/>
      <c r="BB534" s="3"/>
      <c r="BC534" s="3"/>
      <c r="BD534" s="3"/>
      <c r="BE534" s="3"/>
      <c r="BF534" s="3"/>
      <c r="BG534" s="3"/>
      <c r="BH534" s="3"/>
      <c r="BI534" s="3"/>
      <c r="BJ534" s="3"/>
      <c r="BK534" s="3"/>
      <c r="BL534" s="3"/>
      <c r="BM534" s="3"/>
      <c r="BN534" s="3" t="s">
        <v>2127</v>
      </c>
    </row>
    <row r="535" spans="1:66" ht="12.95" customHeight="1">
      <c r="B535" s="1740"/>
      <c r="C535" s="1437"/>
      <c r="D535" s="1437"/>
      <c r="E535" s="1437"/>
      <c r="F535" s="1437"/>
      <c r="G535" s="1437"/>
      <c r="H535" s="1438"/>
      <c r="I535" s="42" t="s">
        <v>423</v>
      </c>
      <c r="J535" s="42"/>
      <c r="K535" s="42"/>
      <c r="L535" s="42"/>
      <c r="M535" s="42"/>
      <c r="N535" s="42"/>
      <c r="O535" s="1754" t="s">
        <v>334</v>
      </c>
      <c r="P535" s="1755"/>
      <c r="Q535" s="1755"/>
      <c r="R535" s="1755"/>
      <c r="S535" s="1755"/>
      <c r="T535" s="1755"/>
      <c r="U535" s="1755"/>
      <c r="V535" s="1755"/>
      <c r="W535" s="1755"/>
      <c r="X535" s="1755"/>
      <c r="Y535" s="1755"/>
      <c r="Z535" s="1755"/>
      <c r="AA535" s="1755"/>
      <c r="AC535" s="1456" t="s">
        <v>592</v>
      </c>
      <c r="AD535" s="1457"/>
      <c r="AE535" s="1457"/>
      <c r="AF535" s="1457"/>
      <c r="AG535" s="38" t="s">
        <v>403</v>
      </c>
      <c r="AH535" s="1407"/>
      <c r="AI535" s="1407"/>
      <c r="AJ535" s="1407"/>
      <c r="AK535" s="1408"/>
      <c r="AZ535" s="3"/>
      <c r="BA535" s="3"/>
      <c r="BB535" s="3"/>
      <c r="BC535" s="3"/>
      <c r="BD535" s="3"/>
      <c r="BE535" s="3"/>
      <c r="BF535" s="3"/>
      <c r="BG535" s="3"/>
      <c r="BH535" s="3"/>
      <c r="BI535" s="3"/>
      <c r="BJ535" s="3"/>
      <c r="BK535" s="3"/>
      <c r="BL535" s="3"/>
      <c r="BM535" s="3"/>
      <c r="BN535" s="3" t="s">
        <v>2128</v>
      </c>
    </row>
    <row r="536" spans="1:66" ht="12.95" customHeight="1">
      <c r="B536" s="1740"/>
      <c r="C536" s="1437"/>
      <c r="D536" s="1437"/>
      <c r="E536" s="1437"/>
      <c r="F536" s="1437"/>
      <c r="G536" s="1437"/>
      <c r="H536" s="1438"/>
      <c r="I536" t="s">
        <v>421</v>
      </c>
      <c r="AC536" s="1456" t="s">
        <v>592</v>
      </c>
      <c r="AD536" s="1457"/>
      <c r="AE536" s="1457"/>
      <c r="AF536" s="1457"/>
      <c r="AG536" s="13" t="s">
        <v>403</v>
      </c>
      <c r="AH536" s="1407"/>
      <c r="AI536" s="1407"/>
      <c r="AJ536" s="1407"/>
      <c r="AK536" s="1408"/>
      <c r="AZ536" s="3"/>
      <c r="BA536" s="3"/>
      <c r="BB536" s="3"/>
      <c r="BC536" s="3"/>
      <c r="BD536" s="3"/>
      <c r="BE536" s="3"/>
      <c r="BF536" s="3"/>
      <c r="BG536" s="3"/>
      <c r="BH536" s="3"/>
      <c r="BI536" s="3"/>
      <c r="BJ536" s="3"/>
      <c r="BK536" s="3"/>
      <c r="BL536" s="3"/>
      <c r="BM536" s="3"/>
      <c r="BN536" s="3" t="s">
        <v>2129</v>
      </c>
    </row>
    <row r="537" spans="1:66" ht="12.95" customHeight="1">
      <c r="B537" s="1740"/>
      <c r="C537" s="1437"/>
      <c r="D537" s="1437"/>
      <c r="E537" s="1437"/>
      <c r="F537" s="1437"/>
      <c r="G537" s="1437"/>
      <c r="H537" s="1438"/>
      <c r="I537" s="48" t="s">
        <v>422</v>
      </c>
      <c r="J537" s="48"/>
      <c r="K537" s="48"/>
      <c r="L537" s="48"/>
      <c r="M537" s="48"/>
      <c r="N537" s="48"/>
      <c r="O537" s="48"/>
      <c r="P537" s="48"/>
      <c r="Q537" s="48"/>
      <c r="R537" s="48"/>
      <c r="S537" s="48"/>
      <c r="T537" s="48"/>
      <c r="U537" s="48"/>
      <c r="V537" s="48"/>
      <c r="W537" s="48"/>
      <c r="X537" s="48"/>
      <c r="Y537" s="48"/>
      <c r="Z537" s="48"/>
      <c r="AA537" s="48"/>
      <c r="AB537" s="48"/>
      <c r="AC537" s="1456" t="s">
        <v>592</v>
      </c>
      <c r="AD537" s="1457"/>
      <c r="AE537" s="1457"/>
      <c r="AF537" s="1457"/>
      <c r="AG537" s="38" t="s">
        <v>403</v>
      </c>
      <c r="AH537" s="1407"/>
      <c r="AI537" s="1407"/>
      <c r="AJ537" s="1407"/>
      <c r="AK537" s="1408"/>
      <c r="AZ537" s="3"/>
      <c r="BA537" s="3"/>
      <c r="BB537" s="3"/>
      <c r="BC537" s="3"/>
      <c r="BD537" s="3"/>
      <c r="BE537" s="3"/>
      <c r="BF537" s="3"/>
      <c r="BG537" s="3"/>
      <c r="BH537" s="3"/>
      <c r="BI537" s="3"/>
      <c r="BJ537" s="3"/>
      <c r="BK537" s="3"/>
      <c r="BL537" s="3"/>
      <c r="BM537" s="3"/>
      <c r="BN537" s="3" t="s">
        <v>2130</v>
      </c>
    </row>
    <row r="538" spans="1:66" ht="12.95" customHeight="1">
      <c r="B538" s="1740"/>
      <c r="C538" s="1437"/>
      <c r="D538" s="1437"/>
      <c r="E538" s="1437"/>
      <c r="F538" s="1437"/>
      <c r="G538" s="1437"/>
      <c r="H538" s="1438"/>
      <c r="I538" s="42" t="s">
        <v>563</v>
      </c>
      <c r="J538" s="42"/>
      <c r="K538" s="42"/>
      <c r="L538" s="42"/>
      <c r="M538" s="42"/>
      <c r="N538" s="42"/>
      <c r="O538" s="42"/>
      <c r="P538" s="42"/>
      <c r="Q538" s="42"/>
      <c r="R538" s="42"/>
      <c r="S538" s="42"/>
      <c r="T538" s="42"/>
      <c r="U538" s="42"/>
      <c r="V538" s="42"/>
      <c r="W538" s="42"/>
      <c r="AC538" s="1456">
        <v>1</v>
      </c>
      <c r="AD538" s="1457"/>
      <c r="AE538" s="1457"/>
      <c r="AF538" s="1457"/>
      <c r="AG538" s="38" t="s">
        <v>403</v>
      </c>
      <c r="AH538" s="1407">
        <v>2027</v>
      </c>
      <c r="AI538" s="1407"/>
      <c r="AJ538" s="1407"/>
      <c r="AK538" s="1408"/>
      <c r="AZ538" s="3"/>
      <c r="BA538" s="3"/>
      <c r="BB538" s="3"/>
      <c r="BC538" s="3"/>
      <c r="BD538" s="3"/>
      <c r="BE538" s="3"/>
      <c r="BF538" s="3"/>
      <c r="BG538" s="3"/>
      <c r="BH538" s="3"/>
      <c r="BI538" s="3"/>
      <c r="BJ538" s="3"/>
      <c r="BK538" s="3"/>
      <c r="BL538" s="3"/>
      <c r="BM538" s="3"/>
      <c r="BN538" s="3"/>
    </row>
    <row r="539" spans="1:66" ht="12.95" customHeight="1">
      <c r="B539" s="1740"/>
      <c r="C539" s="1437"/>
      <c r="D539" s="1437"/>
      <c r="E539" s="1437"/>
      <c r="F539" s="1437"/>
      <c r="G539" s="1437"/>
      <c r="H539" s="1438"/>
      <c r="I539" t="s">
        <v>564</v>
      </c>
      <c r="AC539" s="1456">
        <v>1</v>
      </c>
      <c r="AD539" s="1457"/>
      <c r="AE539" s="1457"/>
      <c r="AF539" s="1457"/>
      <c r="AG539" s="13" t="s">
        <v>403</v>
      </c>
      <c r="AH539" s="1407">
        <v>2026</v>
      </c>
      <c r="AI539" s="1407"/>
      <c r="AJ539" s="1407"/>
      <c r="AK539" s="1408"/>
      <c r="AZ539" s="3"/>
      <c r="BA539" s="3"/>
      <c r="BB539" s="3"/>
      <c r="BC539" s="3"/>
      <c r="BD539" s="3"/>
      <c r="BE539" s="3"/>
      <c r="BF539" s="3"/>
      <c r="BG539" s="3"/>
      <c r="BH539" s="3"/>
      <c r="BI539" s="3"/>
      <c r="BJ539" s="3"/>
      <c r="BK539" s="3"/>
      <c r="BL539" s="3"/>
      <c r="BM539" s="3"/>
      <c r="BN539" s="3"/>
    </row>
    <row r="540" spans="1:66" ht="12.95" customHeight="1">
      <c r="B540" s="1740"/>
      <c r="C540" s="1437"/>
      <c r="D540" s="1437"/>
      <c r="E540" s="1437"/>
      <c r="F540" s="1437"/>
      <c r="G540" s="1437"/>
      <c r="H540" s="1438"/>
      <c r="I540" t="s">
        <v>565</v>
      </c>
      <c r="AC540" s="1456">
        <v>1</v>
      </c>
      <c r="AD540" s="1457"/>
      <c r="AE540" s="1457"/>
      <c r="AF540" s="1457"/>
      <c r="AG540" s="38" t="s">
        <v>403</v>
      </c>
      <c r="AH540" s="1407">
        <v>2028</v>
      </c>
      <c r="AI540" s="1407"/>
      <c r="AJ540" s="1407"/>
      <c r="AK540" s="1408"/>
      <c r="AZ540" s="3"/>
      <c r="BA540" s="3"/>
      <c r="BB540" s="3"/>
      <c r="BC540" s="3"/>
      <c r="BD540" s="3"/>
      <c r="BE540" s="3"/>
      <c r="BF540" s="3"/>
      <c r="BG540" s="3"/>
      <c r="BH540" s="3"/>
      <c r="BI540" s="3"/>
      <c r="BJ540" s="3"/>
      <c r="BK540" s="3"/>
      <c r="BL540" s="3"/>
      <c r="BM540" s="3"/>
      <c r="BN540" s="3"/>
    </row>
    <row r="541" spans="1:66" ht="12.95" customHeight="1">
      <c r="B541" s="1740"/>
      <c r="C541" s="1437"/>
      <c r="D541" s="1437"/>
      <c r="E541" s="1437"/>
      <c r="F541" s="1437"/>
      <c r="G541" s="1437"/>
      <c r="H541" s="1438"/>
      <c r="I541" t="s">
        <v>566</v>
      </c>
      <c r="AC541" s="1456">
        <v>1</v>
      </c>
      <c r="AD541" s="1457"/>
      <c r="AE541" s="1457"/>
      <c r="AF541" s="1457"/>
      <c r="AG541" s="38" t="s">
        <v>403</v>
      </c>
      <c r="AH541" s="1407">
        <v>2028</v>
      </c>
      <c r="AI541" s="1407"/>
      <c r="AJ541" s="1407"/>
      <c r="AK541" s="1408"/>
      <c r="AZ541" s="3"/>
      <c r="BA541" s="3"/>
      <c r="BB541" s="3"/>
      <c r="BC541" s="3"/>
      <c r="BD541" s="3"/>
      <c r="BE541" s="3"/>
      <c r="BF541" s="3"/>
      <c r="BG541" s="3"/>
      <c r="BH541" s="3"/>
      <c r="BI541" s="3"/>
      <c r="BJ541" s="3"/>
      <c r="BK541" s="3"/>
      <c r="BL541" s="3"/>
      <c r="BM541" s="3"/>
      <c r="BN541" s="3"/>
    </row>
    <row r="542" spans="1:66" ht="12.95" customHeight="1">
      <c r="B542" s="1741"/>
      <c r="C542" s="1439"/>
      <c r="D542" s="1439"/>
      <c r="E542" s="1439"/>
      <c r="F542" s="1439"/>
      <c r="G542" s="1439"/>
      <c r="H542" s="1440"/>
      <c r="I542" s="48" t="s">
        <v>452</v>
      </c>
      <c r="J542" s="48"/>
      <c r="K542" s="48"/>
      <c r="L542" s="48"/>
      <c r="M542" s="48"/>
      <c r="N542" s="48"/>
      <c r="O542" s="48"/>
      <c r="P542" s="48"/>
      <c r="Q542" s="48"/>
      <c r="R542" s="48"/>
      <c r="S542" s="48"/>
      <c r="T542" s="48"/>
      <c r="U542" s="48"/>
      <c r="V542" s="48"/>
      <c r="W542" s="48"/>
      <c r="X542" s="48"/>
      <c r="Y542" s="48"/>
      <c r="Z542" s="48"/>
      <c r="AA542" s="48"/>
      <c r="AB542" s="48"/>
      <c r="AC542" s="1456">
        <v>7</v>
      </c>
      <c r="AD542" s="1457"/>
      <c r="AE542" s="1457"/>
      <c r="AF542" s="1457"/>
      <c r="AG542" s="38" t="s">
        <v>403</v>
      </c>
      <c r="AH542" s="1407">
        <v>2028</v>
      </c>
      <c r="AI542" s="1407"/>
      <c r="AJ542" s="1407"/>
      <c r="AK542" s="1408"/>
      <c r="BB542" s="3"/>
      <c r="BC542" s="3"/>
      <c r="BD542" s="3"/>
      <c r="BE542" s="3"/>
      <c r="BF542" s="3"/>
      <c r="BG542" s="3"/>
      <c r="BH542" s="3" t="s">
        <v>112</v>
      </c>
      <c r="BI542" s="3" t="str">
        <f>N649</f>
        <v>Yes</v>
      </c>
      <c r="BJ542" s="3"/>
      <c r="BK542" s="3"/>
      <c r="BL542" s="3"/>
      <c r="BM542" s="3"/>
      <c r="BN542" s="3"/>
    </row>
    <row r="543" spans="1:66" ht="12.95" customHeight="1">
      <c r="B543" s="531"/>
      <c r="C543" s="130"/>
      <c r="D543" s="130"/>
      <c r="E543" s="130"/>
      <c r="F543" s="130"/>
      <c r="G543" s="130"/>
      <c r="H543" s="130"/>
      <c r="AB543" s="130"/>
      <c r="AU543" s="898"/>
      <c r="AV543" s="898"/>
      <c r="AW543" s="898"/>
      <c r="AX543" s="898"/>
      <c r="AY543" s="898"/>
      <c r="BB543" s="3"/>
      <c r="BC543" s="3"/>
      <c r="BD543" s="3"/>
      <c r="BE543" s="3"/>
      <c r="BF543" s="3"/>
      <c r="BG543" s="3"/>
      <c r="BH543" s="3" t="s">
        <v>113</v>
      </c>
      <c r="BI543" s="3" t="str">
        <f>AG649</f>
        <v>Yes</v>
      </c>
      <c r="BJ543" s="3"/>
      <c r="BK543" s="3"/>
      <c r="BL543" s="3"/>
      <c r="BM543" s="3"/>
      <c r="BN543" s="3"/>
    </row>
    <row r="544" spans="1:66" ht="12.95" customHeight="1">
      <c r="A544" s="1264" t="s">
        <v>544</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898"/>
      <c r="AV544" s="898"/>
      <c r="AW544" s="898"/>
      <c r="AX544" s="898"/>
      <c r="AY544" s="898"/>
      <c r="BB544" s="3"/>
      <c r="BC544" s="3"/>
      <c r="BD544" s="3"/>
      <c r="BE544" s="3"/>
      <c r="BF544" s="3"/>
      <c r="BG544" s="3"/>
      <c r="BH544" s="3"/>
      <c r="BI544" s="3"/>
      <c r="BJ544" s="3"/>
      <c r="BK544" s="3"/>
      <c r="BL544" s="3"/>
      <c r="BM544" s="3"/>
      <c r="BN544" s="3"/>
    </row>
    <row r="545" spans="1:61"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1"/>
      <c r="BB550" s="3"/>
      <c r="BC550" s="3"/>
      <c r="BD550" s="3"/>
      <c r="BE550" s="3"/>
      <c r="BF550" s="3"/>
      <c r="BG550" s="3"/>
      <c r="BH550" s="3" t="s">
        <v>119</v>
      </c>
      <c r="BI550" s="3" t="str">
        <f>N657</f>
        <v>Yes</v>
      </c>
    </row>
    <row r="551" spans="1:61" ht="12.95" customHeight="1">
      <c r="B551" s="1739" t="s">
        <v>2104</v>
      </c>
      <c r="C551" s="1435"/>
      <c r="D551" s="1435"/>
      <c r="E551" s="1435"/>
      <c r="F551" s="1435"/>
      <c r="G551" s="1435"/>
      <c r="H551" s="1435"/>
      <c r="I551" s="1435"/>
      <c r="J551" s="1435"/>
      <c r="K551" s="1435"/>
      <c r="L551" s="1436"/>
      <c r="M551" s="1739" t="s">
        <v>2105</v>
      </c>
      <c r="N551" s="1435"/>
      <c r="O551" s="1435"/>
      <c r="P551" s="1436"/>
      <c r="Q551" s="1739" t="s">
        <v>2131</v>
      </c>
      <c r="R551" s="1435"/>
      <c r="S551" s="1436"/>
      <c r="T551" s="1739" t="s">
        <v>2132</v>
      </c>
      <c r="U551" s="1435"/>
      <c r="V551" s="1436"/>
      <c r="W551" s="1739" t="s">
        <v>454</v>
      </c>
      <c r="X551" s="1435"/>
      <c r="Y551" s="1436"/>
      <c r="Z551" s="1739" t="s">
        <v>1853</v>
      </c>
      <c r="AA551" s="1435"/>
      <c r="AB551" s="1435"/>
      <c r="AC551" s="1435"/>
      <c r="AD551" s="1436"/>
      <c r="AE551" s="1739" t="s">
        <v>1677</v>
      </c>
      <c r="AF551" s="1435"/>
      <c r="AG551" s="1435"/>
      <c r="AH551" s="1436"/>
      <c r="AI551" s="1739" t="s">
        <v>1678</v>
      </c>
      <c r="AJ551" s="1435"/>
      <c r="AK551" s="1435"/>
      <c r="AL551" s="1436"/>
      <c r="AM551" s="1739" t="s">
        <v>455</v>
      </c>
      <c r="AN551" s="1435"/>
      <c r="AO551" s="1435"/>
      <c r="AP551" s="1435"/>
      <c r="AQ551" s="1435"/>
      <c r="AR551" s="1435"/>
      <c r="AS551" s="1436"/>
      <c r="BB551" s="3"/>
      <c r="BC551" s="3"/>
      <c r="BD551" s="3"/>
      <c r="BE551" s="3"/>
      <c r="BF551" s="3"/>
      <c r="BG551" s="3"/>
      <c r="BH551" s="3" t="s">
        <v>582</v>
      </c>
      <c r="BI551" s="3" t="str">
        <f>AG657</f>
        <v>Yes</v>
      </c>
    </row>
    <row r="552" spans="1:61" ht="12.95" customHeight="1">
      <c r="B552" s="1740"/>
      <c r="C552" s="1437"/>
      <c r="D552" s="1437"/>
      <c r="E552" s="1437"/>
      <c r="F552" s="1437"/>
      <c r="G552" s="1437"/>
      <c r="H552" s="1437"/>
      <c r="I552" s="1437"/>
      <c r="J552" s="1437"/>
      <c r="K552" s="1437"/>
      <c r="L552" s="1438"/>
      <c r="M552" s="1740"/>
      <c r="N552" s="1437"/>
      <c r="O552" s="1437"/>
      <c r="P552" s="1438"/>
      <c r="Q552" s="1740"/>
      <c r="R552" s="1437"/>
      <c r="S552" s="1438"/>
      <c r="T552" s="1740"/>
      <c r="U552" s="1437"/>
      <c r="V552" s="1438"/>
      <c r="W552" s="1740"/>
      <c r="X552" s="1437"/>
      <c r="Y552" s="1438"/>
      <c r="Z552" s="1740"/>
      <c r="AA552" s="1437"/>
      <c r="AB552" s="1437"/>
      <c r="AC552" s="1437"/>
      <c r="AD552" s="1438"/>
      <c r="AE552" s="1740"/>
      <c r="AF552" s="1437"/>
      <c r="AG552" s="1437"/>
      <c r="AH552" s="1438"/>
      <c r="AI552" s="1740"/>
      <c r="AJ552" s="1437"/>
      <c r="AK552" s="1437"/>
      <c r="AL552" s="1438"/>
      <c r="AM552" s="1740"/>
      <c r="AN552" s="1437"/>
      <c r="AO552" s="1437"/>
      <c r="AP552" s="1437"/>
      <c r="AQ552" s="1437"/>
      <c r="AR552" s="1437"/>
      <c r="AS552" s="1438"/>
      <c r="AU552" s="1146"/>
      <c r="BB552" s="3"/>
      <c r="BC552" s="3"/>
      <c r="BD552" s="3"/>
      <c r="BE552" s="3"/>
      <c r="BF552" s="3"/>
      <c r="BG552" s="3"/>
      <c r="BH552" s="3"/>
      <c r="BI552" s="3"/>
    </row>
    <row r="553" spans="1:61" ht="12.95" customHeight="1">
      <c r="B553" s="1741"/>
      <c r="C553" s="1439"/>
      <c r="D553" s="1439"/>
      <c r="E553" s="1439"/>
      <c r="F553" s="1439"/>
      <c r="G553" s="1439"/>
      <c r="H553" s="1439"/>
      <c r="I553" s="1439"/>
      <c r="J553" s="1439"/>
      <c r="K553" s="1439"/>
      <c r="L553" s="1440"/>
      <c r="M553" s="1741"/>
      <c r="N553" s="1439"/>
      <c r="O553" s="1439"/>
      <c r="P553" s="1440"/>
      <c r="Q553" s="1741"/>
      <c r="R553" s="1439"/>
      <c r="S553" s="1440"/>
      <c r="T553" s="1741"/>
      <c r="U553" s="1439"/>
      <c r="V553" s="1440"/>
      <c r="W553" s="1741"/>
      <c r="X553" s="1439"/>
      <c r="Y553" s="1440"/>
      <c r="Z553" s="1741"/>
      <c r="AA553" s="1439"/>
      <c r="AB553" s="1439"/>
      <c r="AC553" s="1439"/>
      <c r="AD553" s="1440"/>
      <c r="AE553" s="1741"/>
      <c r="AF553" s="1439"/>
      <c r="AG553" s="1439"/>
      <c r="AH553" s="1440"/>
      <c r="AI553" s="1741"/>
      <c r="AJ553" s="1439"/>
      <c r="AK553" s="1439"/>
      <c r="AL553" s="1440"/>
      <c r="AM553" s="1741"/>
      <c r="AN553" s="1439"/>
      <c r="AO553" s="1439"/>
      <c r="AP553" s="1439"/>
      <c r="AQ553" s="1439"/>
      <c r="AR553" s="1439"/>
      <c r="AS553" s="1440"/>
      <c r="AU553" s="1146"/>
      <c r="BB553" s="3"/>
      <c r="BC553" s="3"/>
      <c r="BD553" s="3"/>
      <c r="BE553" s="3"/>
      <c r="BF553" s="3"/>
      <c r="BG553" s="3"/>
      <c r="BH553" s="3"/>
      <c r="BI553" s="3"/>
    </row>
    <row r="554" spans="1:61" ht="12.95" customHeight="1">
      <c r="B554" s="51" t="s">
        <v>112</v>
      </c>
      <c r="C554" s="1678" t="s">
        <v>2723</v>
      </c>
      <c r="D554" s="1678"/>
      <c r="E554" s="1678"/>
      <c r="F554" s="1678"/>
      <c r="G554" s="1678"/>
      <c r="H554" s="1678"/>
      <c r="I554" s="1678"/>
      <c r="J554" s="1678"/>
      <c r="K554" s="1678"/>
      <c r="L554" s="1678"/>
      <c r="M554" s="1678" t="s">
        <v>2121</v>
      </c>
      <c r="N554" s="1678"/>
      <c r="O554" s="1678"/>
      <c r="P554" s="1678"/>
      <c r="Q554" s="1468">
        <v>34</v>
      </c>
      <c r="R554" s="1468"/>
      <c r="S554" s="1469"/>
      <c r="T554" s="1467"/>
      <c r="U554" s="1468"/>
      <c r="V554" s="1469"/>
      <c r="W554" s="1470">
        <v>6.5500000000000003E-2</v>
      </c>
      <c r="X554" s="1471"/>
      <c r="Y554" s="1472"/>
      <c r="Z554" s="1679" t="s">
        <v>2721</v>
      </c>
      <c r="AA554" s="1679"/>
      <c r="AB554" s="1679"/>
      <c r="AC554" s="1679"/>
      <c r="AD554" s="1679"/>
      <c r="AE554" s="1447">
        <v>1</v>
      </c>
      <c r="AF554" s="1448"/>
      <c r="AG554" s="1448"/>
      <c r="AH554" s="1449"/>
      <c r="AI554" s="1453"/>
      <c r="AJ554" s="1454"/>
      <c r="AK554" s="1454"/>
      <c r="AL554" s="1455"/>
      <c r="AM554" s="1450">
        <v>44487000</v>
      </c>
      <c r="AN554" s="1451"/>
      <c r="AO554" s="1451"/>
      <c r="AP554" s="1451"/>
      <c r="AQ554" s="1451"/>
      <c r="AR554" s="1451"/>
      <c r="AS554" s="1452"/>
      <c r="AT554" s="1147"/>
      <c r="AU554" s="1146"/>
      <c r="BB554" s="3"/>
      <c r="BC554" s="3"/>
      <c r="BD554" s="3"/>
      <c r="BE554" s="3"/>
      <c r="BF554" s="3"/>
      <c r="BG554" s="3"/>
      <c r="BH554" s="3"/>
      <c r="BI554" s="3"/>
    </row>
    <row r="555" spans="1:61" ht="12.95" customHeight="1">
      <c r="B555" s="52" t="s">
        <v>113</v>
      </c>
      <c r="C555" s="1677" t="s">
        <v>2680</v>
      </c>
      <c r="D555" s="1677"/>
      <c r="E555" s="1677"/>
      <c r="F555" s="1677"/>
      <c r="G555" s="1677"/>
      <c r="H555" s="1677"/>
      <c r="I555" s="1677"/>
      <c r="J555" s="1677"/>
      <c r="K555" s="1677"/>
      <c r="L555" s="1677"/>
      <c r="M555" s="1678" t="s">
        <v>2117</v>
      </c>
      <c r="N555" s="1678"/>
      <c r="O555" s="1678"/>
      <c r="P555" s="1678"/>
      <c r="Q555" s="1467">
        <v>34</v>
      </c>
      <c r="R555" s="1468"/>
      <c r="S555" s="1469"/>
      <c r="T555" s="1467"/>
      <c r="U555" s="1468"/>
      <c r="V555" s="1469"/>
      <c r="W555" s="1470">
        <v>0</v>
      </c>
      <c r="X555" s="1471"/>
      <c r="Y555" s="1472"/>
      <c r="Z555" s="1679" t="s">
        <v>2740</v>
      </c>
      <c r="AA555" s="1679"/>
      <c r="AB555" s="1679"/>
      <c r="AC555" s="1679"/>
      <c r="AD555" s="1679"/>
      <c r="AE555" s="1447">
        <v>2</v>
      </c>
      <c r="AF555" s="1448"/>
      <c r="AG555" s="1448"/>
      <c r="AH555" s="1449"/>
      <c r="AI555" s="1453"/>
      <c r="AJ555" s="1454"/>
      <c r="AK555" s="1454"/>
      <c r="AL555" s="1455"/>
      <c r="AM555" s="1450">
        <v>9900000</v>
      </c>
      <c r="AN555" s="1451"/>
      <c r="AO555" s="1451"/>
      <c r="AP555" s="1451"/>
      <c r="AQ555" s="1451"/>
      <c r="AR555" s="1451"/>
      <c r="AS555" s="1452"/>
      <c r="AT555" s="1147" t="str">
        <f>IF(AND(NOT(C554=""),C555="",NOT(C556="")),"!","")</f>
        <v/>
      </c>
      <c r="AU555" s="1146"/>
      <c r="BB555" s="3"/>
      <c r="BC555" s="3"/>
      <c r="BD555" s="3"/>
      <c r="BE555" s="3"/>
      <c r="BF555" s="3"/>
      <c r="BG555" s="3"/>
      <c r="BH555" s="3"/>
      <c r="BI555" s="3"/>
    </row>
    <row r="556" spans="1:61" ht="12.95" customHeight="1">
      <c r="B556" s="52" t="s">
        <v>119</v>
      </c>
      <c r="C556" s="1677" t="s">
        <v>2747</v>
      </c>
      <c r="D556" s="1677"/>
      <c r="E556" s="1677"/>
      <c r="F556" s="1677"/>
      <c r="G556" s="1677"/>
      <c r="H556" s="1677"/>
      <c r="I556" s="1677"/>
      <c r="J556" s="1677"/>
      <c r="K556" s="1677"/>
      <c r="L556" s="1677"/>
      <c r="M556" s="1678" t="s">
        <v>2117</v>
      </c>
      <c r="N556" s="1678"/>
      <c r="O556" s="1678"/>
      <c r="P556" s="1678"/>
      <c r="Q556" s="1467">
        <v>34</v>
      </c>
      <c r="R556" s="1468"/>
      <c r="S556" s="1469"/>
      <c r="T556" s="1467"/>
      <c r="U556" s="1468"/>
      <c r="V556" s="1469"/>
      <c r="W556" s="1470">
        <v>0.03</v>
      </c>
      <c r="X556" s="1471"/>
      <c r="Y556" s="1472"/>
      <c r="Z556" s="1679" t="s">
        <v>2740</v>
      </c>
      <c r="AA556" s="1679"/>
      <c r="AB556" s="1679"/>
      <c r="AC556" s="1679"/>
      <c r="AD556" s="1679"/>
      <c r="AE556" s="1447">
        <v>3</v>
      </c>
      <c r="AF556" s="1448"/>
      <c r="AG556" s="1448"/>
      <c r="AH556" s="1449"/>
      <c r="AI556" s="1453"/>
      <c r="AJ556" s="1454"/>
      <c r="AK556" s="1454"/>
      <c r="AL556" s="1455"/>
      <c r="AM556" s="1450">
        <v>20000000</v>
      </c>
      <c r="AN556" s="1451"/>
      <c r="AO556" s="1451"/>
      <c r="AP556" s="1451"/>
      <c r="AQ556" s="1451"/>
      <c r="AR556" s="1451"/>
      <c r="AS556" s="1452"/>
      <c r="AT556" s="1147" t="str">
        <f>IF(AND(NOT(C555=""),C556="",NOT(C557="")),"!","")</f>
        <v/>
      </c>
      <c r="AU556" s="1146"/>
      <c r="BB556" s="3"/>
      <c r="BC556" s="3"/>
      <c r="BD556" s="3"/>
      <c r="BE556" s="3"/>
      <c r="BF556" s="3"/>
      <c r="BG556" s="3"/>
      <c r="BH556" s="3"/>
      <c r="BI556" s="3"/>
    </row>
    <row r="557" spans="1:61" ht="12.95" customHeight="1">
      <c r="B557" s="52" t="s">
        <v>582</v>
      </c>
      <c r="C557" s="1677" t="s">
        <v>2722</v>
      </c>
      <c r="D557" s="1677"/>
      <c r="E557" s="1677"/>
      <c r="F557" s="1677"/>
      <c r="G557" s="1677"/>
      <c r="H557" s="1677"/>
      <c r="I557" s="1677"/>
      <c r="J557" s="1677"/>
      <c r="K557" s="1677"/>
      <c r="L557" s="1677"/>
      <c r="M557" s="1678" t="s">
        <v>2106</v>
      </c>
      <c r="N557" s="1678"/>
      <c r="O557" s="1678"/>
      <c r="P557" s="1678"/>
      <c r="Q557" s="1467">
        <v>34</v>
      </c>
      <c r="R557" s="1468"/>
      <c r="S557" s="1469"/>
      <c r="T557" s="1467"/>
      <c r="U557" s="1468"/>
      <c r="V557" s="1469"/>
      <c r="W557" s="1470"/>
      <c r="X557" s="1471"/>
      <c r="Y557" s="1472"/>
      <c r="Z557" s="1679" t="s">
        <v>592</v>
      </c>
      <c r="AA557" s="1679"/>
      <c r="AB557" s="1679"/>
      <c r="AC557" s="1679"/>
      <c r="AD557" s="1679"/>
      <c r="AE557" s="1447">
        <v>3</v>
      </c>
      <c r="AF557" s="1448"/>
      <c r="AG557" s="1448"/>
      <c r="AH557" s="1449"/>
      <c r="AI557" s="1453"/>
      <c r="AJ557" s="1454"/>
      <c r="AK557" s="1454"/>
      <c r="AL557" s="1455"/>
      <c r="AM557" s="1450">
        <v>1038342</v>
      </c>
      <c r="AN557" s="1451"/>
      <c r="AO557" s="1451"/>
      <c r="AP557" s="1451"/>
      <c r="AQ557" s="1451"/>
      <c r="AR557" s="1451"/>
      <c r="AS557" s="1452"/>
      <c r="AT557" s="1147" t="str">
        <f>IF(AND(NOT(C556=""),C557="",NOT(C558="")),"!","")</f>
        <v/>
      </c>
      <c r="AU557" s="1146"/>
      <c r="BB557" s="3"/>
      <c r="BC557" s="3"/>
      <c r="BD557" s="3"/>
      <c r="BE557" s="3"/>
      <c r="BF557" s="3"/>
      <c r="BG557" s="3"/>
      <c r="BH557" s="3"/>
      <c r="BI557" s="3"/>
    </row>
    <row r="558" spans="1:61" ht="12.95" customHeight="1">
      <c r="B558" s="52" t="s">
        <v>764</v>
      </c>
      <c r="C558" s="1677" t="s">
        <v>2708</v>
      </c>
      <c r="D558" s="1677"/>
      <c r="E558" s="1677"/>
      <c r="F558" s="1677"/>
      <c r="G558" s="1677"/>
      <c r="H558" s="1677"/>
      <c r="I558" s="1677"/>
      <c r="J558" s="1677"/>
      <c r="K558" s="1677"/>
      <c r="L558" s="1677"/>
      <c r="M558" s="1678" t="s">
        <v>2108</v>
      </c>
      <c r="N558" s="1678"/>
      <c r="O558" s="1678"/>
      <c r="P558" s="1678"/>
      <c r="Q558" s="1467"/>
      <c r="R558" s="1468"/>
      <c r="S558" s="1469"/>
      <c r="T558" s="1467"/>
      <c r="U558" s="1468"/>
      <c r="V558" s="1469"/>
      <c r="W558" s="1470"/>
      <c r="X558" s="1471"/>
      <c r="Y558" s="1472"/>
      <c r="Z558" s="1679" t="s">
        <v>592</v>
      </c>
      <c r="AA558" s="1679"/>
      <c r="AB558" s="1679"/>
      <c r="AC558" s="1679"/>
      <c r="AD558" s="1679"/>
      <c r="AE558" s="1447"/>
      <c r="AF558" s="1448"/>
      <c r="AG558" s="1448"/>
      <c r="AH558" s="1449"/>
      <c r="AI558" s="1453"/>
      <c r="AJ558" s="1454"/>
      <c r="AK558" s="1454"/>
      <c r="AL558" s="1455"/>
      <c r="AM558" s="1450">
        <v>5100000</v>
      </c>
      <c r="AN558" s="1451"/>
      <c r="AO558" s="1451"/>
      <c r="AP558" s="1451"/>
      <c r="AQ558" s="1451"/>
      <c r="AR558" s="1451"/>
      <c r="AS558" s="1452"/>
      <c r="AT558" s="1147" t="str">
        <f t="shared" ref="AT558:AT565" si="0">IF(AND(NOT(C557=""),C558="",NOT(C559="")),"!","")</f>
        <v/>
      </c>
      <c r="AU558" s="1146"/>
      <c r="BB558" s="3"/>
      <c r="BC558" s="3"/>
      <c r="BD558" s="3"/>
      <c r="BE558" s="3"/>
      <c r="BF558" s="3"/>
      <c r="BG558" s="3"/>
      <c r="BH558" s="3" t="s">
        <v>764</v>
      </c>
      <c r="BI558" s="3" t="str">
        <f>N665</f>
        <v>Yes</v>
      </c>
    </row>
    <row r="559" spans="1:61" ht="12.95" customHeight="1">
      <c r="B559" s="52" t="s">
        <v>585</v>
      </c>
      <c r="C559" s="1677" t="s">
        <v>2730</v>
      </c>
      <c r="D559" s="1677"/>
      <c r="E559" s="1677"/>
      <c r="F559" s="1677"/>
      <c r="G559" s="1677"/>
      <c r="H559" s="1677"/>
      <c r="I559" s="1677"/>
      <c r="J559" s="1677"/>
      <c r="K559" s="1677"/>
      <c r="L559" s="1677"/>
      <c r="M559" s="1678" t="s">
        <v>2107</v>
      </c>
      <c r="N559" s="1678"/>
      <c r="O559" s="1678"/>
      <c r="P559" s="1678"/>
      <c r="Q559" s="1467"/>
      <c r="R559" s="1468"/>
      <c r="S559" s="1469"/>
      <c r="T559" s="1467"/>
      <c r="U559" s="1468"/>
      <c r="V559" s="1469"/>
      <c r="W559" s="1470"/>
      <c r="X559" s="1471"/>
      <c r="Y559" s="1472"/>
      <c r="Z559" s="1679" t="s">
        <v>592</v>
      </c>
      <c r="AA559" s="1679"/>
      <c r="AB559" s="1679"/>
      <c r="AC559" s="1679"/>
      <c r="AD559" s="1679"/>
      <c r="AE559" s="1447"/>
      <c r="AF559" s="1448"/>
      <c r="AG559" s="1448"/>
      <c r="AH559" s="1449"/>
      <c r="AI559" s="1453"/>
      <c r="AJ559" s="1454"/>
      <c r="AK559" s="1454"/>
      <c r="AL559" s="1455"/>
      <c r="AM559" s="1450">
        <v>1801369</v>
      </c>
      <c r="AN559" s="1451"/>
      <c r="AO559" s="1451"/>
      <c r="AP559" s="1451"/>
      <c r="AQ559" s="1451"/>
      <c r="AR559" s="1451"/>
      <c r="AS559" s="1452"/>
      <c r="AT559" s="1147" t="str">
        <f t="shared" si="0"/>
        <v/>
      </c>
      <c r="AU559" s="1146"/>
      <c r="BB559" s="3"/>
      <c r="BC559" s="3"/>
      <c r="BD559" s="3"/>
      <c r="BE559" s="3"/>
      <c r="BF559" s="3"/>
      <c r="BG559" s="3"/>
      <c r="BH559" s="3" t="s">
        <v>585</v>
      </c>
      <c r="BI559" s="3">
        <f>AG665</f>
        <v>0</v>
      </c>
    </row>
    <row r="560" spans="1:61" ht="12.95" customHeight="1">
      <c r="B560" s="52" t="s">
        <v>456</v>
      </c>
      <c r="C560" s="1677" t="s">
        <v>2709</v>
      </c>
      <c r="D560" s="1677"/>
      <c r="E560" s="1677"/>
      <c r="F560" s="1677"/>
      <c r="G560" s="1677"/>
      <c r="H560" s="1677"/>
      <c r="I560" s="1677"/>
      <c r="J560" s="1677"/>
      <c r="K560" s="1677"/>
      <c r="L560" s="1677"/>
      <c r="M560" s="1678" t="s">
        <v>2112</v>
      </c>
      <c r="N560" s="1678"/>
      <c r="O560" s="1678"/>
      <c r="P560" s="1678"/>
      <c r="Q560" s="1467"/>
      <c r="R560" s="1468"/>
      <c r="S560" s="1469"/>
      <c r="T560" s="1467"/>
      <c r="U560" s="1468"/>
      <c r="V560" s="1469"/>
      <c r="W560" s="1470"/>
      <c r="X560" s="1471"/>
      <c r="Y560" s="1472"/>
      <c r="Z560" s="1679" t="s">
        <v>592</v>
      </c>
      <c r="AA560" s="1679"/>
      <c r="AB560" s="1679"/>
      <c r="AC560" s="1679"/>
      <c r="AD560" s="1679"/>
      <c r="AE560" s="1447"/>
      <c r="AF560" s="1448"/>
      <c r="AG560" s="1448"/>
      <c r="AH560" s="1449"/>
      <c r="AI560" s="1453"/>
      <c r="AJ560" s="1454"/>
      <c r="AK560" s="1454"/>
      <c r="AL560" s="1455"/>
      <c r="AM560" s="1450">
        <f>3597374-191250</f>
        <v>3406124</v>
      </c>
      <c r="AN560" s="1451"/>
      <c r="AO560" s="1451"/>
      <c r="AP560" s="1451"/>
      <c r="AQ560" s="1451"/>
      <c r="AR560" s="1451"/>
      <c r="AS560" s="1452"/>
      <c r="AT560" s="1147" t="str">
        <f t="shared" si="0"/>
        <v/>
      </c>
      <c r="AU560" s="1146"/>
      <c r="BB560" s="3"/>
      <c r="BC560" s="3"/>
      <c r="BD560" s="3"/>
      <c r="BE560" s="3"/>
      <c r="BF560" s="3"/>
      <c r="BG560" s="3"/>
      <c r="BH560" s="3"/>
      <c r="BI560" s="3"/>
    </row>
    <row r="561" spans="1:61" ht="12.95" customHeight="1">
      <c r="B561" s="52" t="s">
        <v>457</v>
      </c>
      <c r="C561" s="1677"/>
      <c r="D561" s="1677"/>
      <c r="E561" s="1677"/>
      <c r="F561" s="1677"/>
      <c r="G561" s="1677"/>
      <c r="H561" s="1677"/>
      <c r="I561" s="1677"/>
      <c r="J561" s="1677"/>
      <c r="K561" s="1677"/>
      <c r="L561" s="1677"/>
      <c r="M561" s="1678" t="s">
        <v>1185</v>
      </c>
      <c r="N561" s="1678"/>
      <c r="O561" s="1678"/>
      <c r="P561" s="1678"/>
      <c r="Q561" s="1467"/>
      <c r="R561" s="1468"/>
      <c r="S561" s="1469"/>
      <c r="T561" s="1467"/>
      <c r="U561" s="1468"/>
      <c r="V561" s="1469"/>
      <c r="W561" s="1470"/>
      <c r="X561" s="1471"/>
      <c r="Y561" s="1472"/>
      <c r="Z561" s="1679" t="s">
        <v>1185</v>
      </c>
      <c r="AA561" s="1679"/>
      <c r="AB561" s="1679"/>
      <c r="AC561" s="1679"/>
      <c r="AD561" s="1679"/>
      <c r="AE561" s="1447"/>
      <c r="AF561" s="1448"/>
      <c r="AG561" s="1448"/>
      <c r="AH561" s="1449"/>
      <c r="AI561" s="1453"/>
      <c r="AJ561" s="1454"/>
      <c r="AK561" s="1454"/>
      <c r="AL561" s="1455"/>
      <c r="AM561" s="1450"/>
      <c r="AN561" s="1451"/>
      <c r="AO561" s="1451"/>
      <c r="AP561" s="1451"/>
      <c r="AQ561" s="1451"/>
      <c r="AR561" s="1451"/>
      <c r="AS561" s="1452"/>
      <c r="AT561" s="1147" t="str">
        <f t="shared" si="0"/>
        <v/>
      </c>
      <c r="AU561" s="1146"/>
      <c r="BB561" s="3"/>
      <c r="BC561" s="3"/>
      <c r="BD561" s="3"/>
      <c r="BE561" s="3"/>
      <c r="BF561" s="3"/>
      <c r="BG561" s="3"/>
      <c r="BH561" s="3"/>
      <c r="BI561" s="3"/>
    </row>
    <row r="562" spans="1:61" ht="12.95" customHeight="1">
      <c r="B562" s="52" t="s">
        <v>462</v>
      </c>
      <c r="C562" s="1677"/>
      <c r="D562" s="1677"/>
      <c r="E562" s="1677"/>
      <c r="F562" s="1677"/>
      <c r="G562" s="1677"/>
      <c r="H562" s="1677"/>
      <c r="I562" s="1677"/>
      <c r="J562" s="1677"/>
      <c r="K562" s="1677"/>
      <c r="L562" s="1677"/>
      <c r="M562" s="1678" t="s">
        <v>1185</v>
      </c>
      <c r="N562" s="1678"/>
      <c r="O562" s="1678"/>
      <c r="P562" s="1678"/>
      <c r="Q562" s="1467"/>
      <c r="R562" s="1468"/>
      <c r="S562" s="1469"/>
      <c r="T562" s="1467"/>
      <c r="U562" s="1468"/>
      <c r="V562" s="1469"/>
      <c r="W562" s="1470"/>
      <c r="X562" s="1471"/>
      <c r="Y562" s="1472"/>
      <c r="Z562" s="1679" t="s">
        <v>1185</v>
      </c>
      <c r="AA562" s="1679"/>
      <c r="AB562" s="1679"/>
      <c r="AC562" s="1679"/>
      <c r="AD562" s="1679"/>
      <c r="AE562" s="1447"/>
      <c r="AF562" s="1448"/>
      <c r="AG562" s="1448"/>
      <c r="AH562" s="1449"/>
      <c r="AI562" s="1453"/>
      <c r="AJ562" s="1454"/>
      <c r="AK562" s="1454"/>
      <c r="AL562" s="1455"/>
      <c r="AM562" s="1450"/>
      <c r="AN562" s="1451"/>
      <c r="AO562" s="1451"/>
      <c r="AP562" s="1451"/>
      <c r="AQ562" s="1451"/>
      <c r="AR562" s="1451"/>
      <c r="AS562" s="1452"/>
      <c r="AT562" s="1147" t="str">
        <f t="shared" si="0"/>
        <v/>
      </c>
      <c r="AU562" s="1146"/>
      <c r="BB562" s="3"/>
      <c r="BC562" s="3"/>
      <c r="BD562" s="3"/>
      <c r="BE562" s="3"/>
      <c r="BF562" s="3"/>
      <c r="BG562" s="3"/>
      <c r="BH562" s="3"/>
      <c r="BI562" s="3"/>
    </row>
    <row r="563" spans="1:61" ht="12.95" customHeight="1">
      <c r="B563" s="52" t="s">
        <v>647</v>
      </c>
      <c r="C563" s="1677"/>
      <c r="D563" s="1677"/>
      <c r="E563" s="1677"/>
      <c r="F563" s="1677"/>
      <c r="G563" s="1677"/>
      <c r="H563" s="1677"/>
      <c r="I563" s="1677"/>
      <c r="J563" s="1677"/>
      <c r="K563" s="1677"/>
      <c r="L563" s="1677"/>
      <c r="M563" s="1678" t="s">
        <v>1185</v>
      </c>
      <c r="N563" s="1678"/>
      <c r="O563" s="1678"/>
      <c r="P563" s="1678"/>
      <c r="Q563" s="1467"/>
      <c r="R563" s="1468"/>
      <c r="S563" s="1469"/>
      <c r="T563" s="1467"/>
      <c r="U563" s="1468"/>
      <c r="V563" s="1469"/>
      <c r="W563" s="1470"/>
      <c r="X563" s="1471"/>
      <c r="Y563" s="1472"/>
      <c r="Z563" s="1679" t="s">
        <v>1185</v>
      </c>
      <c r="AA563" s="1679"/>
      <c r="AB563" s="1679"/>
      <c r="AC563" s="1679"/>
      <c r="AD563" s="1679"/>
      <c r="AE563" s="1447"/>
      <c r="AF563" s="1448"/>
      <c r="AG563" s="1448"/>
      <c r="AH563" s="1449"/>
      <c r="AI563" s="1453"/>
      <c r="AJ563" s="1454"/>
      <c r="AK563" s="1454"/>
      <c r="AL563" s="1455"/>
      <c r="AM563" s="1450"/>
      <c r="AN563" s="1451"/>
      <c r="AO563" s="1451"/>
      <c r="AP563" s="1451"/>
      <c r="AQ563" s="1451"/>
      <c r="AR563" s="1451"/>
      <c r="AS563" s="1452"/>
      <c r="AT563" s="1147" t="str">
        <f t="shared" si="0"/>
        <v/>
      </c>
      <c r="BB563" s="3"/>
      <c r="BC563" s="3"/>
      <c r="BD563" s="3"/>
      <c r="BE563" s="3"/>
      <c r="BF563" s="3"/>
      <c r="BG563" s="3"/>
      <c r="BH563" s="3"/>
      <c r="BI563" s="3"/>
    </row>
    <row r="564" spans="1:61" ht="12.95" customHeight="1">
      <c r="B564" s="52" t="s">
        <v>362</v>
      </c>
      <c r="C564" s="1677"/>
      <c r="D564" s="1677"/>
      <c r="E564" s="1677"/>
      <c r="F564" s="1677"/>
      <c r="G564" s="1677"/>
      <c r="H564" s="1677"/>
      <c r="I564" s="1677"/>
      <c r="J564" s="1677"/>
      <c r="K564" s="1677"/>
      <c r="L564" s="1677"/>
      <c r="M564" s="1678" t="s">
        <v>1185</v>
      </c>
      <c r="N564" s="1678"/>
      <c r="O564" s="1678"/>
      <c r="P564" s="1678"/>
      <c r="Q564" s="1467"/>
      <c r="R564" s="1468"/>
      <c r="S564" s="1469"/>
      <c r="T564" s="1467"/>
      <c r="U564" s="1468"/>
      <c r="V564" s="1469"/>
      <c r="W564" s="1470"/>
      <c r="X564" s="1471"/>
      <c r="Y564" s="1472"/>
      <c r="Z564" s="1679" t="s">
        <v>1185</v>
      </c>
      <c r="AA564" s="1679"/>
      <c r="AB564" s="1679"/>
      <c r="AC564" s="1679"/>
      <c r="AD564" s="1679"/>
      <c r="AE564" s="1447"/>
      <c r="AF564" s="1448"/>
      <c r="AG564" s="1448"/>
      <c r="AH564" s="1449"/>
      <c r="AI564" s="1453"/>
      <c r="AJ564" s="1454"/>
      <c r="AK564" s="1454"/>
      <c r="AL564" s="1455"/>
      <c r="AM564" s="1450"/>
      <c r="AN564" s="1451"/>
      <c r="AO564" s="1451"/>
      <c r="AP564" s="1451"/>
      <c r="AQ564" s="1451"/>
      <c r="AR564" s="1451"/>
      <c r="AS564" s="1452"/>
      <c r="AT564" s="1147" t="str">
        <f t="shared" si="0"/>
        <v/>
      </c>
      <c r="BB564" s="3"/>
      <c r="BC564" s="3"/>
      <c r="BD564" s="3"/>
      <c r="BE564" s="3"/>
      <c r="BF564" s="3"/>
      <c r="BG564" s="3"/>
      <c r="BH564" s="3"/>
      <c r="BI564" s="3"/>
    </row>
    <row r="565" spans="1:61" ht="12.95" customHeight="1">
      <c r="B565" s="52" t="s">
        <v>363</v>
      </c>
      <c r="C565" s="1677"/>
      <c r="D565" s="1677"/>
      <c r="E565" s="1677"/>
      <c r="F565" s="1677"/>
      <c r="G565" s="1677"/>
      <c r="H565" s="1677"/>
      <c r="I565" s="1677"/>
      <c r="J565" s="1677"/>
      <c r="K565" s="1677"/>
      <c r="L565" s="1677"/>
      <c r="M565" s="1678" t="s">
        <v>1185</v>
      </c>
      <c r="N565" s="1678"/>
      <c r="O565" s="1678"/>
      <c r="P565" s="1678"/>
      <c r="Q565" s="1467"/>
      <c r="R565" s="1468"/>
      <c r="S565" s="1469"/>
      <c r="T565" s="1467"/>
      <c r="U565" s="1468"/>
      <c r="V565" s="1469"/>
      <c r="W565" s="1470"/>
      <c r="X565" s="1471"/>
      <c r="Y565" s="1472"/>
      <c r="Z565" s="1679" t="s">
        <v>1185</v>
      </c>
      <c r="AA565" s="1679"/>
      <c r="AB565" s="1679"/>
      <c r="AC565" s="1679"/>
      <c r="AD565" s="1679"/>
      <c r="AE565" s="1447"/>
      <c r="AF565" s="1448"/>
      <c r="AG565" s="1448"/>
      <c r="AH565" s="1449"/>
      <c r="AI565" s="1453"/>
      <c r="AJ565" s="1454"/>
      <c r="AK565" s="1454"/>
      <c r="AL565" s="1455"/>
      <c r="AM565" s="1450"/>
      <c r="AN565" s="1451"/>
      <c r="AO565" s="1451"/>
      <c r="AP565" s="1451"/>
      <c r="AQ565" s="1451"/>
      <c r="AR565" s="1451"/>
      <c r="AS565" s="1452"/>
      <c r="AT565" s="1147" t="str">
        <f t="shared" si="0"/>
        <v/>
      </c>
      <c r="BB565" s="3"/>
      <c r="BC565" s="3"/>
      <c r="BD565" s="3"/>
      <c r="BE565" s="3"/>
      <c r="BF565" s="3"/>
      <c r="BG565" s="3"/>
      <c r="BH565" s="3"/>
      <c r="BI565" s="3"/>
    </row>
    <row r="566" spans="1:61" ht="12.95" customHeight="1">
      <c r="B566" s="1464" t="s">
        <v>127</v>
      </c>
      <c r="C566" s="1465"/>
      <c r="D566" s="1465"/>
      <c r="E566" s="1465"/>
      <c r="F566" s="1465"/>
      <c r="G566" s="1465"/>
      <c r="H566" s="1465"/>
      <c r="I566" s="1465"/>
      <c r="J566" s="1465"/>
      <c r="K566" s="1465"/>
      <c r="L566" s="1465"/>
      <c r="M566" s="1465"/>
      <c r="N566" s="1465"/>
      <c r="O566" s="1465"/>
      <c r="P566" s="1465"/>
      <c r="Q566" s="1465"/>
      <c r="R566" s="1465"/>
      <c r="S566" s="1465"/>
      <c r="T566" s="1465"/>
      <c r="U566" s="1501"/>
      <c r="V566" s="1465"/>
      <c r="W566" s="1465"/>
      <c r="X566" s="1465"/>
      <c r="Y566" s="1465"/>
      <c r="Z566" s="1465"/>
      <c r="AA566" s="1465"/>
      <c r="AB566" s="1465"/>
      <c r="AC566" s="1465"/>
      <c r="AD566" s="1465"/>
      <c r="AE566" s="1465"/>
      <c r="AF566" s="1465"/>
      <c r="AG566" s="1465"/>
      <c r="AH566" s="1465"/>
      <c r="AI566" s="1465"/>
      <c r="AJ566" s="1465"/>
      <c r="AK566" s="1465"/>
      <c r="AL566" s="1466"/>
      <c r="AM566" s="1632">
        <f>SUM(AM554:AS565)</f>
        <v>85732835</v>
      </c>
      <c r="AN566" s="1633"/>
      <c r="AO566" s="1633"/>
      <c r="AP566" s="1633"/>
      <c r="AQ566" s="1633"/>
      <c r="AR566" s="1633"/>
      <c r="AS566" s="163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63" t="str">
        <f>C554</f>
        <v xml:space="preserve">Wells Fargo (Tax Exempt Construction Loan) </v>
      </c>
      <c r="H568" s="1363"/>
      <c r="I568" s="1363"/>
      <c r="J568" s="1363"/>
      <c r="K568" s="1363"/>
      <c r="L568" s="1363"/>
      <c r="M568" s="1363"/>
      <c r="N568" s="1363"/>
      <c r="O568" s="1363"/>
      <c r="P568" s="1363"/>
      <c r="Q568" s="1363"/>
      <c r="R568" s="1363"/>
      <c r="S568" s="8"/>
      <c r="T568" s="55" t="s">
        <v>113</v>
      </c>
      <c r="U568" t="s">
        <v>464</v>
      </c>
      <c r="Z568" s="1363" t="str">
        <f>C555</f>
        <v>LACDA - NPLH Loan</v>
      </c>
      <c r="AA568" s="1363"/>
      <c r="AB568" s="1363"/>
      <c r="AC568" s="1363"/>
      <c r="AD568" s="1363"/>
      <c r="AE568" s="1363"/>
      <c r="AF568" s="1363"/>
      <c r="AG568" s="1363"/>
      <c r="AH568" s="1363"/>
      <c r="AI568" s="1363"/>
      <c r="AJ568" s="1363"/>
      <c r="AK568" s="1363"/>
      <c r="BB568" s="3"/>
      <c r="BC568" s="3"/>
      <c r="BD568" s="3"/>
      <c r="BE568" s="3"/>
      <c r="BF568" s="3"/>
      <c r="BG568" s="3"/>
      <c r="BH568" s="3"/>
      <c r="BI568" s="3"/>
    </row>
    <row r="569" spans="1:61" ht="12.95" customHeight="1">
      <c r="A569" s="22"/>
      <c r="B569" t="s">
        <v>85</v>
      </c>
      <c r="G569" s="1421" t="s">
        <v>2681</v>
      </c>
      <c r="H569" s="1376"/>
      <c r="I569" s="1376"/>
      <c r="J569" s="1376"/>
      <c r="K569" s="1376"/>
      <c r="L569" s="1376"/>
      <c r="M569" s="1376"/>
      <c r="N569" s="1376"/>
      <c r="O569" s="1376"/>
      <c r="P569" s="1376"/>
      <c r="Q569" s="1376"/>
      <c r="R569" s="1376"/>
      <c r="S569" s="8"/>
      <c r="T569" s="22"/>
      <c r="U569" t="s">
        <v>85</v>
      </c>
      <c r="Z569" s="1421" t="s">
        <v>2685</v>
      </c>
      <c r="AA569" s="1376"/>
      <c r="AB569" s="1376"/>
      <c r="AC569" s="1376"/>
      <c r="AD569" s="1376"/>
      <c r="AE569" s="1376"/>
      <c r="AF569" s="1376"/>
      <c r="AG569" s="1376"/>
      <c r="AH569" s="1376"/>
      <c r="AI569" s="1376"/>
      <c r="AJ569" s="1376"/>
      <c r="AK569" s="1376"/>
      <c r="BB569" s="3"/>
      <c r="BC569" s="3"/>
      <c r="BD569" s="3"/>
      <c r="BE569" s="3"/>
      <c r="BF569" s="3"/>
      <c r="BG569" s="3"/>
      <c r="BH569" s="3"/>
      <c r="BI569" s="3"/>
    </row>
    <row r="570" spans="1:61" ht="12.95" customHeight="1">
      <c r="A570" s="22"/>
      <c r="B570" t="s">
        <v>581</v>
      </c>
      <c r="G570" s="1421" t="s">
        <v>495</v>
      </c>
      <c r="H570" s="1376"/>
      <c r="I570" s="1376"/>
      <c r="J570" s="1376"/>
      <c r="K570" s="1376"/>
      <c r="L570" s="1376"/>
      <c r="M570" s="1376"/>
      <c r="N570" s="1376"/>
      <c r="O570" s="1376"/>
      <c r="P570" s="1376"/>
      <c r="Q570" s="1376"/>
      <c r="R570" s="1376"/>
      <c r="T570" s="22"/>
      <c r="U570" t="s">
        <v>581</v>
      </c>
      <c r="Z570" s="1473" t="s">
        <v>2618</v>
      </c>
      <c r="AA570" s="1353"/>
      <c r="AB570" s="1353"/>
      <c r="AC570" s="1353"/>
      <c r="AD570" s="1353"/>
      <c r="AE570" s="1353"/>
      <c r="AF570" s="1353"/>
      <c r="AG570" s="1353"/>
      <c r="AH570" s="1353"/>
      <c r="AI570" s="1353"/>
      <c r="AJ570" s="1353"/>
      <c r="AK570" s="1353"/>
      <c r="BB570" s="3"/>
      <c r="BC570" s="3"/>
      <c r="BD570" s="3"/>
      <c r="BE570" s="3"/>
      <c r="BF570" s="3"/>
      <c r="BG570" s="3"/>
      <c r="BH570" s="3"/>
      <c r="BI570" s="3"/>
    </row>
    <row r="571" spans="1:61" ht="12.95" customHeight="1">
      <c r="A571" s="22"/>
      <c r="B571" t="s">
        <v>17</v>
      </c>
      <c r="G571" s="1421" t="s">
        <v>2682</v>
      </c>
      <c r="H571" s="1376"/>
      <c r="I571" s="1376"/>
      <c r="J571" s="1376"/>
      <c r="K571" s="1376"/>
      <c r="L571" s="1376"/>
      <c r="M571" s="1376"/>
      <c r="N571" s="1376"/>
      <c r="O571" s="1376"/>
      <c r="P571" s="1376"/>
      <c r="Q571" s="1376"/>
      <c r="R571" s="1376"/>
      <c r="S571" s="8"/>
      <c r="T571" s="22"/>
      <c r="U571" t="s">
        <v>17</v>
      </c>
      <c r="Z571" s="1473" t="s">
        <v>2616</v>
      </c>
      <c r="AA571" s="1353"/>
      <c r="AB571" s="1353"/>
      <c r="AC571" s="1353"/>
      <c r="AD571" s="1353"/>
      <c r="AE571" s="1353"/>
      <c r="AF571" s="1353"/>
      <c r="AG571" s="1353"/>
      <c r="AH571" s="1353"/>
      <c r="AI571" s="1353"/>
      <c r="AJ571" s="1353"/>
      <c r="AK571" s="1353"/>
      <c r="BB571" s="3"/>
      <c r="BC571" s="3"/>
      <c r="BD571" s="3"/>
      <c r="BE571" s="3"/>
      <c r="BF571" s="3"/>
      <c r="BG571" s="3"/>
      <c r="BH571" s="3"/>
      <c r="BI571" s="3"/>
    </row>
    <row r="572" spans="1:61" ht="12.95" customHeight="1">
      <c r="A572" s="22"/>
      <c r="B572" t="s">
        <v>316</v>
      </c>
      <c r="G572" s="1347" t="s">
        <v>2683</v>
      </c>
      <c r="H572" s="1348"/>
      <c r="I572" s="1348"/>
      <c r="J572" s="1348"/>
      <c r="K572" s="1348"/>
      <c r="L572" s="1348"/>
      <c r="O572" s="33" t="s">
        <v>206</v>
      </c>
      <c r="P572" s="1441"/>
      <c r="Q572" s="1441"/>
      <c r="R572" s="1441"/>
      <c r="S572" s="10"/>
      <c r="T572" s="22"/>
      <c r="U572" t="s">
        <v>316</v>
      </c>
      <c r="Z572" s="1347" t="s">
        <v>2619</v>
      </c>
      <c r="AA572" s="1348"/>
      <c r="AB572" s="1348"/>
      <c r="AC572" s="1348"/>
      <c r="AD572" s="1348"/>
      <c r="AE572" s="1348"/>
      <c r="AH572" s="33" t="s">
        <v>206</v>
      </c>
      <c r="AI572" s="1441"/>
      <c r="AJ572" s="1441"/>
      <c r="AK572" s="1441"/>
      <c r="BB572" s="3"/>
      <c r="BC572" s="3"/>
      <c r="BD572" s="3"/>
      <c r="BE572" s="3"/>
      <c r="BF572" s="3"/>
      <c r="BG572" s="3"/>
      <c r="BH572" s="3"/>
      <c r="BI572" s="3"/>
    </row>
    <row r="573" spans="1:61" ht="12.95" customHeight="1">
      <c r="A573" s="22"/>
      <c r="B573" t="s">
        <v>18</v>
      </c>
      <c r="H573" s="1421" t="s">
        <v>2684</v>
      </c>
      <c r="I573" s="1376"/>
      <c r="J573" s="1376"/>
      <c r="K573" s="1376"/>
      <c r="L573" s="1376"/>
      <c r="M573" s="1376"/>
      <c r="N573" s="1376"/>
      <c r="O573" s="1376"/>
      <c r="P573" s="1376"/>
      <c r="Q573" s="1376"/>
      <c r="R573" s="1376"/>
      <c r="S573" s="8"/>
      <c r="T573" s="22"/>
      <c r="U573" t="s">
        <v>18</v>
      </c>
      <c r="AA573" s="1421" t="s">
        <v>2710</v>
      </c>
      <c r="AB573" s="1376"/>
      <c r="AC573" s="1376"/>
      <c r="AD573" s="1376"/>
      <c r="AE573" s="1376"/>
      <c r="AF573" s="1376"/>
      <c r="AG573" s="1376"/>
      <c r="AH573" s="1376"/>
      <c r="AI573" s="1376"/>
      <c r="AJ573" s="1376"/>
      <c r="AK573" s="1376"/>
      <c r="BB573" s="3"/>
      <c r="BC573" s="3"/>
      <c r="BD573" s="3"/>
      <c r="BE573" s="3"/>
      <c r="BF573" s="3"/>
      <c r="BG573" s="3"/>
      <c r="BH573" s="3"/>
      <c r="BI573" s="3"/>
    </row>
    <row r="574" spans="1:61" ht="12.95" customHeight="1">
      <c r="A574" s="22"/>
      <c r="B574" s="319" t="s">
        <v>1186</v>
      </c>
      <c r="H574" s="8"/>
      <c r="I574" s="8"/>
      <c r="J574" s="8"/>
      <c r="K574" s="8"/>
      <c r="L574" s="8"/>
      <c r="M574" s="1702" t="s">
        <v>592</v>
      </c>
      <c r="N574" s="1703"/>
      <c r="O574" s="1703"/>
      <c r="P574" s="1703"/>
      <c r="Q574" s="1703"/>
      <c r="R574" s="1703"/>
      <c r="S574" s="8"/>
      <c r="T574" s="22"/>
      <c r="U574" s="319" t="s">
        <v>1186</v>
      </c>
      <c r="AA574" s="8"/>
      <c r="AB574" s="8"/>
      <c r="AC574" s="8"/>
      <c r="AD574" s="8"/>
      <c r="AE574" s="8"/>
      <c r="AF574" s="1702" t="s">
        <v>592</v>
      </c>
      <c r="AG574" s="1703"/>
      <c r="AH574" s="1703"/>
      <c r="AI574" s="1703"/>
      <c r="AJ574" s="1703"/>
      <c r="AK574" s="1703"/>
      <c r="BB574" s="3"/>
      <c r="BC574" s="3"/>
      <c r="BD574" s="3"/>
      <c r="BE574" s="3"/>
      <c r="BF574" s="3"/>
      <c r="BG574" s="3"/>
      <c r="BH574" s="3"/>
      <c r="BI574" s="3"/>
    </row>
    <row r="575" spans="1:61" ht="12.95" customHeight="1">
      <c r="A575" s="22"/>
      <c r="B575" t="s">
        <v>20</v>
      </c>
      <c r="N575" s="1336" t="s">
        <v>546</v>
      </c>
      <c r="O575" s="1336"/>
      <c r="T575" s="22"/>
      <c r="U575" t="s">
        <v>20</v>
      </c>
      <c r="AG575" s="1336" t="s">
        <v>546</v>
      </c>
      <c r="AH575" s="133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63" t="str">
        <f>C556</f>
        <v xml:space="preserve">LACDA - AHTF (1st &amp; 2nd Tranche) </v>
      </c>
      <c r="H577" s="1363"/>
      <c r="I577" s="1363"/>
      <c r="J577" s="1363"/>
      <c r="K577" s="1363"/>
      <c r="L577" s="1363"/>
      <c r="M577" s="1363"/>
      <c r="N577" s="1363"/>
      <c r="O577" s="1363"/>
      <c r="P577" s="1363"/>
      <c r="Q577" s="1363"/>
      <c r="R577" s="1363"/>
      <c r="T577" s="55" t="s">
        <v>582</v>
      </c>
      <c r="U577" t="s">
        <v>464</v>
      </c>
      <c r="Z577" s="1363" t="str">
        <f>C557</f>
        <v>LACDA - Accrued Interest</v>
      </c>
      <c r="AA577" s="1363"/>
      <c r="AB577" s="1363"/>
      <c r="AC577" s="1363"/>
      <c r="AD577" s="1363"/>
      <c r="AE577" s="1363"/>
      <c r="AF577" s="1363"/>
      <c r="AG577" s="1363"/>
      <c r="AH577" s="1363"/>
      <c r="AI577" s="1363"/>
      <c r="AJ577" s="1363"/>
      <c r="AK577" s="1363"/>
      <c r="BB577" s="3"/>
      <c r="BC577" s="3"/>
    </row>
    <row r="578" spans="1:55" ht="12.95" customHeight="1">
      <c r="A578" s="22"/>
      <c r="B578" t="s">
        <v>85</v>
      </c>
      <c r="G578" s="1421" t="s">
        <v>2685</v>
      </c>
      <c r="H578" s="1376"/>
      <c r="I578" s="1376"/>
      <c r="J578" s="1376"/>
      <c r="K578" s="1376"/>
      <c r="L578" s="1376"/>
      <c r="M578" s="1376"/>
      <c r="N578" s="1376"/>
      <c r="O578" s="1376"/>
      <c r="P578" s="1376"/>
      <c r="Q578" s="1376"/>
      <c r="R578" s="1376"/>
      <c r="T578" s="22"/>
      <c r="U578" t="s">
        <v>85</v>
      </c>
      <c r="Z578" s="1376" t="s">
        <v>2685</v>
      </c>
      <c r="AA578" s="1376"/>
      <c r="AB578" s="1376"/>
      <c r="AC578" s="1376"/>
      <c r="AD578" s="1376"/>
      <c r="AE578" s="1376"/>
      <c r="AF578" s="1376"/>
      <c r="AG578" s="1376"/>
      <c r="AH578" s="1376"/>
      <c r="AI578" s="1376"/>
      <c r="AJ578" s="1376"/>
      <c r="AK578" s="1376"/>
      <c r="BB578" s="3"/>
      <c r="BC578" s="3"/>
    </row>
    <row r="579" spans="1:55" ht="12.95" customHeight="1">
      <c r="A579" s="22"/>
      <c r="B579" t="s">
        <v>581</v>
      </c>
      <c r="G579" s="1473" t="s">
        <v>2618</v>
      </c>
      <c r="H579" s="1353"/>
      <c r="I579" s="1353"/>
      <c r="J579" s="1353"/>
      <c r="K579" s="1353"/>
      <c r="L579" s="1353"/>
      <c r="M579" s="1353"/>
      <c r="N579" s="1353"/>
      <c r="O579" s="1353"/>
      <c r="P579" s="1353"/>
      <c r="Q579" s="1353"/>
      <c r="R579" s="1353"/>
      <c r="T579" s="22"/>
      <c r="U579" t="s">
        <v>581</v>
      </c>
      <c r="Z579" s="1353" t="s">
        <v>2618</v>
      </c>
      <c r="AA579" s="1353"/>
      <c r="AB579" s="1353"/>
      <c r="AC579" s="1353"/>
      <c r="AD579" s="1353"/>
      <c r="AE579" s="1353"/>
      <c r="AF579" s="1353"/>
      <c r="AG579" s="1353"/>
      <c r="AH579" s="1353"/>
      <c r="AI579" s="1353"/>
      <c r="AJ579" s="1353"/>
      <c r="AK579" s="1353"/>
      <c r="BB579" s="3"/>
      <c r="BC579" s="3"/>
    </row>
    <row r="580" spans="1:55" ht="12.95" customHeight="1">
      <c r="A580" s="22"/>
      <c r="B580" t="s">
        <v>17</v>
      </c>
      <c r="G580" s="1473" t="s">
        <v>2616</v>
      </c>
      <c r="H580" s="1353"/>
      <c r="I580" s="1353"/>
      <c r="J580" s="1353"/>
      <c r="K580" s="1353"/>
      <c r="L580" s="1353"/>
      <c r="M580" s="1353"/>
      <c r="N580" s="1353"/>
      <c r="O580" s="1353"/>
      <c r="P580" s="1353"/>
      <c r="Q580" s="1353"/>
      <c r="R580" s="1353"/>
      <c r="T580" s="22"/>
      <c r="U580" t="s">
        <v>17</v>
      </c>
      <c r="Z580" s="1353" t="s">
        <v>2616</v>
      </c>
      <c r="AA580" s="1353"/>
      <c r="AB580" s="1353"/>
      <c r="AC580" s="1353"/>
      <c r="AD580" s="1353"/>
      <c r="AE580" s="1353"/>
      <c r="AF580" s="1353"/>
      <c r="AG580" s="1353"/>
      <c r="AH580" s="1353"/>
      <c r="AI580" s="1353"/>
      <c r="AJ580" s="1353"/>
      <c r="AK580" s="1353"/>
      <c r="BB580" s="3"/>
      <c r="BC580" s="3"/>
    </row>
    <row r="581" spans="1:55" ht="12.95" customHeight="1">
      <c r="A581" s="22"/>
      <c r="B581" t="s">
        <v>316</v>
      </c>
      <c r="G581" s="1347" t="s">
        <v>2619</v>
      </c>
      <c r="H581" s="1348"/>
      <c r="I581" s="1348"/>
      <c r="J581" s="1348"/>
      <c r="K581" s="1348"/>
      <c r="L581" s="1348"/>
      <c r="O581" s="33" t="s">
        <v>206</v>
      </c>
      <c r="P581" s="1441"/>
      <c r="Q581" s="1441"/>
      <c r="R581" s="1441"/>
      <c r="T581" s="22"/>
      <c r="U581" t="s">
        <v>316</v>
      </c>
      <c r="Z581" s="1348" t="s">
        <v>2619</v>
      </c>
      <c r="AA581" s="1348"/>
      <c r="AB581" s="1348"/>
      <c r="AC581" s="1348"/>
      <c r="AD581" s="1348"/>
      <c r="AE581" s="1348"/>
      <c r="AH581" s="33" t="s">
        <v>206</v>
      </c>
      <c r="AI581" s="1441"/>
      <c r="AJ581" s="1441"/>
      <c r="AK581" s="1441"/>
      <c r="BB581" s="3"/>
      <c r="BC581" s="3"/>
    </row>
    <row r="582" spans="1:55" ht="12.95" customHeight="1">
      <c r="A582" s="22"/>
      <c r="B582" t="s">
        <v>18</v>
      </c>
      <c r="H582" s="1421" t="s">
        <v>2710</v>
      </c>
      <c r="I582" s="1376"/>
      <c r="J582" s="1376"/>
      <c r="K582" s="1376"/>
      <c r="L582" s="1376"/>
      <c r="M582" s="1376"/>
      <c r="N582" s="1376"/>
      <c r="O582" s="1376"/>
      <c r="P582" s="1376"/>
      <c r="Q582" s="1376"/>
      <c r="R582" s="1376"/>
      <c r="T582" s="22"/>
      <c r="U582" t="s">
        <v>18</v>
      </c>
      <c r="AA582" s="1376" t="s">
        <v>2710</v>
      </c>
      <c r="AB582" s="1376"/>
      <c r="AC582" s="1376"/>
      <c r="AD582" s="1376"/>
      <c r="AE582" s="1376"/>
      <c r="AF582" s="1376"/>
      <c r="AG582" s="1376"/>
      <c r="AH582" s="1376"/>
      <c r="AI582" s="1376"/>
      <c r="AJ582" s="1376"/>
      <c r="AK582" s="1376"/>
      <c r="BB582" s="3"/>
      <c r="BC582" s="3"/>
    </row>
    <row r="583" spans="1:55" ht="12.95" customHeight="1">
      <c r="A583" s="22"/>
      <c r="B583" t="s">
        <v>20</v>
      </c>
      <c r="N583" s="1336" t="s">
        <v>546</v>
      </c>
      <c r="O583" s="1336"/>
      <c r="T583" s="22"/>
      <c r="U583" t="s">
        <v>20</v>
      </c>
      <c r="AG583" s="1336" t="s">
        <v>546</v>
      </c>
      <c r="AH583" s="1336"/>
      <c r="BB583" s="3"/>
      <c r="BC583" s="3"/>
    </row>
    <row r="584" spans="1:55" ht="12.95" customHeight="1">
      <c r="A584" s="22"/>
      <c r="T584" s="22"/>
      <c r="BB584" s="3"/>
      <c r="BC584" s="3"/>
    </row>
    <row r="585" spans="1:55" ht="12.95" customHeight="1">
      <c r="A585" s="55" t="s">
        <v>764</v>
      </c>
      <c r="B585" t="s">
        <v>464</v>
      </c>
      <c r="G585" s="1363" t="str">
        <f>C558</f>
        <v>CADI: Deferred Developer Fee</v>
      </c>
      <c r="H585" s="1363"/>
      <c r="I585" s="1363"/>
      <c r="J585" s="1363"/>
      <c r="K585" s="1363"/>
      <c r="L585" s="1363"/>
      <c r="M585" s="1363"/>
      <c r="N585" s="1363"/>
      <c r="O585" s="1363"/>
      <c r="P585" s="1363"/>
      <c r="Q585" s="1363"/>
      <c r="R585" s="1363"/>
      <c r="T585" s="55" t="s">
        <v>585</v>
      </c>
      <c r="U585" t="s">
        <v>464</v>
      </c>
      <c r="Z585" s="1363" t="str">
        <f>C559</f>
        <v>CADI: Costs Deferred until Conversion</v>
      </c>
      <c r="AA585" s="1363"/>
      <c r="AB585" s="1363"/>
      <c r="AC585" s="1363"/>
      <c r="AD585" s="1363"/>
      <c r="AE585" s="1363"/>
      <c r="AF585" s="1363"/>
      <c r="AG585" s="1363"/>
      <c r="AH585" s="1363"/>
      <c r="AI585" s="1363"/>
      <c r="AJ585" s="1363"/>
      <c r="AK585" s="1363"/>
      <c r="BB585" s="3"/>
      <c r="BC585" s="3"/>
    </row>
    <row r="586" spans="1:55" ht="12.95" customHeight="1">
      <c r="A586" s="22"/>
      <c r="B586" t="s">
        <v>85</v>
      </c>
      <c r="G586" s="1376" t="s">
        <v>2624</v>
      </c>
      <c r="H586" s="1376"/>
      <c r="I586" s="1376"/>
      <c r="J586" s="1376"/>
      <c r="K586" s="1376"/>
      <c r="L586" s="1376"/>
      <c r="M586" s="1376"/>
      <c r="N586" s="1376"/>
      <c r="O586" s="1376"/>
      <c r="P586" s="1376"/>
      <c r="Q586" s="1376"/>
      <c r="R586" s="1376"/>
      <c r="T586" s="22"/>
      <c r="U586" t="s">
        <v>85</v>
      </c>
      <c r="Z586" s="1838" t="s">
        <v>2624</v>
      </c>
      <c r="AA586" s="1838"/>
      <c r="AB586" s="1838"/>
      <c r="AC586" s="1838"/>
      <c r="AD586" s="1838"/>
      <c r="AE586" s="1838"/>
      <c r="AF586" s="1838"/>
      <c r="AG586" s="1838"/>
      <c r="AH586" s="1838"/>
      <c r="AI586" s="1838"/>
      <c r="AJ586" s="1838"/>
      <c r="AK586" s="1838"/>
      <c r="BB586" s="3"/>
      <c r="BC586" s="3"/>
    </row>
    <row r="587" spans="1:55" ht="12.95" customHeight="1">
      <c r="A587" s="22"/>
      <c r="B587" t="s">
        <v>581</v>
      </c>
      <c r="G587" s="1376" t="s">
        <v>2631</v>
      </c>
      <c r="H587" s="1376"/>
      <c r="I587" s="1376"/>
      <c r="J587" s="1376"/>
      <c r="K587" s="1376"/>
      <c r="L587" s="1376"/>
      <c r="M587" s="1376"/>
      <c r="N587" s="1376"/>
      <c r="O587" s="1376"/>
      <c r="P587" s="1376"/>
      <c r="Q587" s="1376"/>
      <c r="R587" s="1376"/>
      <c r="T587" s="22"/>
      <c r="U587" t="s">
        <v>581</v>
      </c>
      <c r="Z587" s="1353" t="s">
        <v>2631</v>
      </c>
      <c r="AA587" s="1353"/>
      <c r="AB587" s="1353"/>
      <c r="AC587" s="1353"/>
      <c r="AD587" s="1353"/>
      <c r="AE587" s="1353"/>
      <c r="AF587" s="1353"/>
      <c r="AG587" s="1353"/>
      <c r="AH587" s="1353"/>
      <c r="AI587" s="1353"/>
      <c r="AJ587" s="1353"/>
      <c r="AK587" s="1353"/>
      <c r="BB587" s="3"/>
      <c r="BC587" s="3"/>
    </row>
    <row r="588" spans="1:55" ht="12.95" customHeight="1">
      <c r="A588" s="22"/>
      <c r="B588" t="s">
        <v>17</v>
      </c>
      <c r="G588" s="1376" t="s">
        <v>2627</v>
      </c>
      <c r="H588" s="1376"/>
      <c r="I588" s="1376"/>
      <c r="J588" s="1376"/>
      <c r="K588" s="1376"/>
      <c r="L588" s="1376"/>
      <c r="M588" s="1376"/>
      <c r="N588" s="1376"/>
      <c r="O588" s="1376"/>
      <c r="P588" s="1376"/>
      <c r="Q588" s="1376"/>
      <c r="R588" s="1376"/>
      <c r="T588" s="22"/>
      <c r="U588" t="s">
        <v>17</v>
      </c>
      <c r="Z588" s="1353" t="s">
        <v>2627</v>
      </c>
      <c r="AA588" s="1353"/>
      <c r="AB588" s="1353"/>
      <c r="AC588" s="1353"/>
      <c r="AD588" s="1353"/>
      <c r="AE588" s="1353"/>
      <c r="AF588" s="1353"/>
      <c r="AG588" s="1353"/>
      <c r="AH588" s="1353"/>
      <c r="AI588" s="1353"/>
      <c r="AJ588" s="1353"/>
      <c r="AK588" s="1353"/>
    </row>
    <row r="589" spans="1:55" ht="12.95" customHeight="1">
      <c r="A589" s="22"/>
      <c r="B589" t="s">
        <v>316</v>
      </c>
      <c r="G589" s="1348" t="s">
        <v>2619</v>
      </c>
      <c r="H589" s="1348"/>
      <c r="I589" s="1348"/>
      <c r="J589" s="1348"/>
      <c r="K589" s="1348"/>
      <c r="L589" s="1348"/>
      <c r="O589" s="33" t="s">
        <v>206</v>
      </c>
      <c r="P589" s="1441"/>
      <c r="Q589" s="1441"/>
      <c r="R589" s="1441"/>
      <c r="T589" s="22"/>
      <c r="U589" t="s">
        <v>316</v>
      </c>
      <c r="Z589" s="1347" t="s">
        <v>2711</v>
      </c>
      <c r="AA589" s="1347"/>
      <c r="AB589" s="1347"/>
      <c r="AC589" s="1347"/>
      <c r="AD589" s="1347"/>
      <c r="AE589" s="1347"/>
      <c r="AH589" s="33" t="s">
        <v>206</v>
      </c>
      <c r="AI589" s="1441"/>
      <c r="AJ589" s="1441"/>
      <c r="AK589" s="1441"/>
      <c r="AZ589" s="3"/>
      <c r="BA589" s="3"/>
      <c r="BB589" s="3"/>
      <c r="BC589" s="3"/>
    </row>
    <row r="590" spans="1:55" ht="12.95" customHeight="1">
      <c r="A590" s="22"/>
      <c r="B590" t="s">
        <v>18</v>
      </c>
      <c r="H590" s="1376" t="s">
        <v>2323</v>
      </c>
      <c r="I590" s="1376"/>
      <c r="J590" s="1376"/>
      <c r="K590" s="1376"/>
      <c r="L590" s="1376"/>
      <c r="M590" s="1376"/>
      <c r="N590" s="1376"/>
      <c r="O590" s="1376"/>
      <c r="P590" s="1376"/>
      <c r="Q590" s="1376"/>
      <c r="R590" s="1376"/>
      <c r="T590" s="22"/>
      <c r="U590" t="s">
        <v>18</v>
      </c>
      <c r="AA590" s="1376" t="s">
        <v>2731</v>
      </c>
      <c r="AB590" s="1376"/>
      <c r="AC590" s="1376"/>
      <c r="AD590" s="1376"/>
      <c r="AE590" s="1376"/>
      <c r="AF590" s="1376"/>
      <c r="AG590" s="1376"/>
      <c r="AH590" s="1376"/>
      <c r="AI590" s="1376"/>
      <c r="AJ590" s="1376"/>
      <c r="AK590" s="1376"/>
      <c r="AZ590" s="3"/>
      <c r="BA590" s="3"/>
      <c r="BB590" s="3"/>
      <c r="BC590" s="3"/>
    </row>
    <row r="591" spans="1:55" ht="12.95" customHeight="1">
      <c r="A591" s="22"/>
      <c r="B591" t="s">
        <v>20</v>
      </c>
      <c r="N591" s="1336" t="s">
        <v>546</v>
      </c>
      <c r="O591" s="1336"/>
      <c r="T591" s="22"/>
      <c r="U591" t="s">
        <v>20</v>
      </c>
      <c r="AG591" s="1336" t="s">
        <v>546</v>
      </c>
      <c r="AH591" s="1336"/>
      <c r="AZ591" s="3"/>
      <c r="BA591" s="3"/>
      <c r="BB591" s="3"/>
      <c r="BC591" s="3"/>
    </row>
    <row r="592" spans="1:55" ht="12.95" customHeight="1">
      <c r="A592" s="22"/>
      <c r="T592" s="22"/>
      <c r="AZ592" s="3"/>
      <c r="BA592" s="3"/>
      <c r="BB592" s="3"/>
      <c r="BC592" s="3"/>
    </row>
    <row r="593" spans="1:55" ht="12.95" customHeight="1">
      <c r="A593" s="55" t="s">
        <v>456</v>
      </c>
      <c r="B593" t="s">
        <v>464</v>
      </c>
      <c r="G593" s="1363" t="str">
        <f>C560</f>
        <v>LP Equity Contribution</v>
      </c>
      <c r="H593" s="1363"/>
      <c r="I593" s="1363"/>
      <c r="J593" s="1363"/>
      <c r="K593" s="1363"/>
      <c r="L593" s="1363"/>
      <c r="M593" s="1363"/>
      <c r="N593" s="1363"/>
      <c r="O593" s="1363"/>
      <c r="P593" s="1363"/>
      <c r="Q593" s="1363"/>
      <c r="R593" s="1363"/>
      <c r="T593" s="55" t="s">
        <v>457</v>
      </c>
      <c r="U593" t="s">
        <v>464</v>
      </c>
      <c r="Z593" s="1363">
        <f>C561</f>
        <v>0</v>
      </c>
      <c r="AA593" s="1363"/>
      <c r="AB593" s="1363"/>
      <c r="AC593" s="1363"/>
      <c r="AD593" s="1363"/>
      <c r="AE593" s="1363"/>
      <c r="AF593" s="1363"/>
      <c r="AG593" s="1363"/>
      <c r="AH593" s="1363"/>
      <c r="AI593" s="1363"/>
      <c r="AJ593" s="1363"/>
      <c r="AK593" s="1363"/>
      <c r="AZ593" s="3"/>
      <c r="BA593" s="3"/>
      <c r="BB593" s="3"/>
      <c r="BC593" s="3"/>
    </row>
    <row r="594" spans="1:55" s="4" customFormat="1" ht="12.95" customHeight="1">
      <c r="A594" s="22"/>
      <c r="B594" t="s">
        <v>85</v>
      </c>
      <c r="C594"/>
      <c r="D594"/>
      <c r="E594"/>
      <c r="F594"/>
      <c r="G594" s="1838" t="s">
        <v>2712</v>
      </c>
      <c r="H594" s="1838"/>
      <c r="I594" s="1838"/>
      <c r="J594" s="1838"/>
      <c r="K594" s="1838"/>
      <c r="L594" s="1838"/>
      <c r="M594" s="1838"/>
      <c r="N594" s="1838"/>
      <c r="O594" s="1838"/>
      <c r="P594" s="1838"/>
      <c r="Q594" s="1838"/>
      <c r="R594" s="1838"/>
      <c r="S594"/>
      <c r="T594" s="22"/>
      <c r="U594" t="s">
        <v>85</v>
      </c>
      <c r="V594"/>
      <c r="W594"/>
      <c r="X594"/>
      <c r="Y594"/>
      <c r="Z594" s="1376"/>
      <c r="AA594" s="1376"/>
      <c r="AB594" s="1376"/>
      <c r="AC594" s="1376"/>
      <c r="AD594" s="1376"/>
      <c r="AE594" s="1376"/>
      <c r="AF594" s="1376"/>
      <c r="AG594" s="1376"/>
      <c r="AH594" s="1376"/>
      <c r="AI594" s="1376"/>
      <c r="AJ594" s="1376"/>
      <c r="AK594" s="1376"/>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53"/>
      <c r="H595" s="1353"/>
      <c r="I595" s="1353"/>
      <c r="J595" s="1353"/>
      <c r="K595" s="1353"/>
      <c r="L595" s="1353"/>
      <c r="M595" s="1353"/>
      <c r="N595" s="1353"/>
      <c r="O595" s="1353"/>
      <c r="P595" s="1353"/>
      <c r="Q595" s="1353"/>
      <c r="R595" s="1353"/>
      <c r="S595"/>
      <c r="T595" s="22"/>
      <c r="U595" t="s">
        <v>581</v>
      </c>
      <c r="V595"/>
      <c r="W595"/>
      <c r="X595"/>
      <c r="Y595"/>
      <c r="Z595" s="1353"/>
      <c r="AA595" s="1353"/>
      <c r="AB595" s="1353"/>
      <c r="AC595" s="1353"/>
      <c r="AD595" s="1353"/>
      <c r="AE595" s="1353"/>
      <c r="AF595" s="1353"/>
      <c r="AG595" s="1353"/>
      <c r="AH595" s="1353"/>
      <c r="AI595" s="1353"/>
      <c r="AJ595" s="1353"/>
      <c r="AK595" s="1353"/>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53"/>
      <c r="H596" s="1353"/>
      <c r="I596" s="1353"/>
      <c r="J596" s="1353"/>
      <c r="K596" s="1353"/>
      <c r="L596" s="1353"/>
      <c r="M596" s="1353"/>
      <c r="N596" s="1353"/>
      <c r="O596" s="1353"/>
      <c r="P596" s="1353"/>
      <c r="Q596" s="1353"/>
      <c r="R596" s="1353"/>
      <c r="S596"/>
      <c r="T596" s="22"/>
      <c r="U596" t="s">
        <v>17</v>
      </c>
      <c r="V596"/>
      <c r="W596"/>
      <c r="X596"/>
      <c r="Y596"/>
      <c r="Z596" s="1353"/>
      <c r="AA596" s="1353"/>
      <c r="AB596" s="1353"/>
      <c r="AC596" s="1353"/>
      <c r="AD596" s="1353"/>
      <c r="AE596" s="1353"/>
      <c r="AF596" s="1353"/>
      <c r="AG596" s="1353"/>
      <c r="AH596" s="1353"/>
      <c r="AI596" s="1353"/>
      <c r="AJ596" s="1353"/>
      <c r="AK596" s="1353"/>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7"/>
      <c r="H597" s="1347"/>
      <c r="I597" s="1347"/>
      <c r="J597" s="1347"/>
      <c r="K597" s="1347"/>
      <c r="L597" s="1347"/>
      <c r="M597"/>
      <c r="N597"/>
      <c r="O597" s="33" t="s">
        <v>206</v>
      </c>
      <c r="P597" s="1441"/>
      <c r="Q597" s="1441"/>
      <c r="R597" s="1441"/>
      <c r="S597"/>
      <c r="T597" s="22"/>
      <c r="U597" t="s">
        <v>316</v>
      </c>
      <c r="V597"/>
      <c r="W597"/>
      <c r="X597"/>
      <c r="Y597"/>
      <c r="Z597" s="1348"/>
      <c r="AA597" s="1348"/>
      <c r="AB597" s="1348"/>
      <c r="AC597" s="1348"/>
      <c r="AD597" s="1348"/>
      <c r="AE597" s="1348"/>
      <c r="AF597"/>
      <c r="AG597"/>
      <c r="AH597" s="33" t="s">
        <v>206</v>
      </c>
      <c r="AI597" s="1441"/>
      <c r="AJ597" s="1441"/>
      <c r="AK597" s="144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6"/>
      <c r="I598" s="1376"/>
      <c r="J598" s="1376"/>
      <c r="K598" s="1376"/>
      <c r="L598" s="1376"/>
      <c r="M598" s="1376"/>
      <c r="N598" s="1376"/>
      <c r="O598" s="1376"/>
      <c r="P598" s="1376"/>
      <c r="Q598" s="1376"/>
      <c r="R598" s="1376"/>
      <c r="S598"/>
      <c r="T598" s="22"/>
      <c r="U598" t="s">
        <v>18</v>
      </c>
      <c r="V598"/>
      <c r="W598"/>
      <c r="X598"/>
      <c r="Y598"/>
      <c r="Z598"/>
      <c r="AA598" s="1376" t="s">
        <v>2713</v>
      </c>
      <c r="AB598" s="1376"/>
      <c r="AC598" s="1376"/>
      <c r="AD598" s="1376"/>
      <c r="AE598" s="1376"/>
      <c r="AF598" s="1376"/>
      <c r="AG598" s="1376"/>
      <c r="AH598" s="1376"/>
      <c r="AI598" s="1376"/>
      <c r="AJ598" s="1376"/>
      <c r="AK598" s="1376"/>
      <c r="AL598"/>
      <c r="AM598"/>
      <c r="AN598"/>
      <c r="AO598"/>
      <c r="AP598"/>
      <c r="AQ598"/>
      <c r="AR598"/>
      <c r="AS598"/>
      <c r="AT598"/>
      <c r="AU598"/>
      <c r="AV598"/>
      <c r="AW598"/>
      <c r="AX598"/>
      <c r="AY598"/>
      <c r="BB598" s="3"/>
      <c r="BC598" s="3"/>
    </row>
    <row r="599" spans="1:55" ht="12.95" customHeight="1">
      <c r="A599" s="22"/>
      <c r="B599" t="s">
        <v>20</v>
      </c>
      <c r="N599" s="1336" t="s">
        <v>546</v>
      </c>
      <c r="O599" s="1336"/>
      <c r="T599" s="22"/>
      <c r="U599" t="s">
        <v>20</v>
      </c>
      <c r="AG599" s="1336" t="s">
        <v>546</v>
      </c>
      <c r="AH599" s="1336"/>
      <c r="BB599" s="3"/>
      <c r="BC599" s="3"/>
    </row>
    <row r="600" spans="1:55" ht="12.95" customHeight="1">
      <c r="A600" s="22"/>
      <c r="T600" s="22"/>
      <c r="BB600" s="3"/>
      <c r="BC600" s="3"/>
    </row>
    <row r="601" spans="1:55" ht="12.95" customHeight="1">
      <c r="A601" s="55" t="s">
        <v>462</v>
      </c>
      <c r="B601" t="s">
        <v>464</v>
      </c>
      <c r="G601" s="1363">
        <f>C562</f>
        <v>0</v>
      </c>
      <c r="H601" s="1363"/>
      <c r="I601" s="1363"/>
      <c r="J601" s="1363"/>
      <c r="K601" s="1363"/>
      <c r="L601" s="1363"/>
      <c r="M601" s="1363"/>
      <c r="N601" s="1363"/>
      <c r="O601" s="1363"/>
      <c r="P601" s="1363"/>
      <c r="Q601" s="1363"/>
      <c r="R601" s="1363"/>
      <c r="T601" s="55" t="s">
        <v>647</v>
      </c>
      <c r="U601" t="s">
        <v>464</v>
      </c>
      <c r="Z601" s="1363">
        <f>C563</f>
        <v>0</v>
      </c>
      <c r="AA601" s="1363"/>
      <c r="AB601" s="1363"/>
      <c r="AC601" s="1363"/>
      <c r="AD601" s="1363"/>
      <c r="AE601" s="1363"/>
      <c r="AF601" s="1363"/>
      <c r="AG601" s="1363"/>
      <c r="AH601" s="1363"/>
      <c r="AI601" s="1363"/>
      <c r="AJ601" s="1363"/>
      <c r="AK601" s="1363"/>
      <c r="BB601" s="3"/>
      <c r="BC601" s="3"/>
    </row>
    <row r="602" spans="1:55" ht="12.95" customHeight="1">
      <c r="A602" s="22"/>
      <c r="B602" t="s">
        <v>85</v>
      </c>
      <c r="G602" s="1376"/>
      <c r="H602" s="1376"/>
      <c r="I602" s="1376"/>
      <c r="J602" s="1376"/>
      <c r="K602" s="1376"/>
      <c r="L602" s="1376"/>
      <c r="M602" s="1376"/>
      <c r="N602" s="1376"/>
      <c r="O602" s="1376"/>
      <c r="P602" s="1376"/>
      <c r="Q602" s="1376"/>
      <c r="R602" s="1376"/>
      <c r="T602" s="22"/>
      <c r="U602" t="s">
        <v>85</v>
      </c>
      <c r="Z602" s="1376"/>
      <c r="AA602" s="1376"/>
      <c r="AB602" s="1376"/>
      <c r="AC602" s="1376"/>
      <c r="AD602" s="1376"/>
      <c r="AE602" s="1376"/>
      <c r="AF602" s="1376"/>
      <c r="AG602" s="1376"/>
      <c r="AH602" s="1376"/>
      <c r="AI602" s="1376"/>
      <c r="AJ602" s="1376"/>
      <c r="AK602" s="1376"/>
      <c r="AZ602" s="3"/>
      <c r="BA602" s="3"/>
      <c r="BB602" s="3"/>
      <c r="BC602" s="3"/>
    </row>
    <row r="603" spans="1:55" ht="12.95" customHeight="1">
      <c r="A603" s="22"/>
      <c r="B603" t="s">
        <v>581</v>
      </c>
      <c r="G603" s="1376"/>
      <c r="H603" s="1376"/>
      <c r="I603" s="1376"/>
      <c r="J603" s="1376"/>
      <c r="K603" s="1376"/>
      <c r="L603" s="1376"/>
      <c r="M603" s="1376"/>
      <c r="N603" s="1376"/>
      <c r="O603" s="1376"/>
      <c r="P603" s="1376"/>
      <c r="Q603" s="1376"/>
      <c r="R603" s="1376"/>
      <c r="T603" s="22"/>
      <c r="U603" t="s">
        <v>581</v>
      </c>
      <c r="Z603" s="1353"/>
      <c r="AA603" s="1353"/>
      <c r="AB603" s="1353"/>
      <c r="AC603" s="1353"/>
      <c r="AD603" s="1353"/>
      <c r="AE603" s="1353"/>
      <c r="AF603" s="1353"/>
      <c r="AG603" s="1353"/>
      <c r="AH603" s="1353"/>
      <c r="AI603" s="1353"/>
      <c r="AJ603" s="1353"/>
      <c r="AK603" s="1353"/>
      <c r="AZ603" s="3"/>
      <c r="BA603" s="3"/>
      <c r="BB603" s="3"/>
      <c r="BC603" s="3"/>
    </row>
    <row r="604" spans="1:55" ht="12.95" customHeight="1">
      <c r="A604" s="22"/>
      <c r="B604" t="s">
        <v>17</v>
      </c>
      <c r="G604" s="1376"/>
      <c r="H604" s="1376"/>
      <c r="I604" s="1376"/>
      <c r="J604" s="1376"/>
      <c r="K604" s="1376"/>
      <c r="L604" s="1376"/>
      <c r="M604" s="1376"/>
      <c r="N604" s="1376"/>
      <c r="O604" s="1376"/>
      <c r="P604" s="1376"/>
      <c r="Q604" s="1376"/>
      <c r="R604" s="1376"/>
      <c r="T604" s="22"/>
      <c r="U604" t="s">
        <v>17</v>
      </c>
      <c r="Z604" s="1353"/>
      <c r="AA604" s="1353"/>
      <c r="AB604" s="1353"/>
      <c r="AC604" s="1353"/>
      <c r="AD604" s="1353"/>
      <c r="AE604" s="1353"/>
      <c r="AF604" s="1353"/>
      <c r="AG604" s="1353"/>
      <c r="AH604" s="1353"/>
      <c r="AI604" s="1353"/>
      <c r="AJ604" s="1353"/>
      <c r="AK604" s="1353"/>
      <c r="AZ604" s="3"/>
      <c r="BA604" s="3"/>
      <c r="BB604" s="3"/>
      <c r="BC604" s="3"/>
    </row>
    <row r="605" spans="1:55" s="4" customFormat="1" ht="12.95" customHeight="1">
      <c r="A605" s="22"/>
      <c r="B605" t="s">
        <v>316</v>
      </c>
      <c r="C605"/>
      <c r="D605"/>
      <c r="E605"/>
      <c r="F605"/>
      <c r="G605" s="1348"/>
      <c r="H605" s="1348"/>
      <c r="I605" s="1348"/>
      <c r="J605" s="1348"/>
      <c r="K605" s="1348"/>
      <c r="L605" s="1348"/>
      <c r="M605"/>
      <c r="N605"/>
      <c r="O605" s="33" t="s">
        <v>206</v>
      </c>
      <c r="P605" s="1441"/>
      <c r="Q605" s="1441"/>
      <c r="R605" s="1441"/>
      <c r="S605"/>
      <c r="T605" s="22"/>
      <c r="U605" t="s">
        <v>316</v>
      </c>
      <c r="V605"/>
      <c r="W605"/>
      <c r="X605"/>
      <c r="Y605"/>
      <c r="Z605" s="1348"/>
      <c r="AA605" s="1348"/>
      <c r="AB605" s="1348"/>
      <c r="AC605" s="1348"/>
      <c r="AD605" s="1348"/>
      <c r="AE605" s="1348"/>
      <c r="AF605"/>
      <c r="AG605"/>
      <c r="AH605" s="33" t="s">
        <v>206</v>
      </c>
      <c r="AI605" s="1441"/>
      <c r="AJ605" s="1441"/>
      <c r="AK605" s="144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6"/>
      <c r="I606" s="1376"/>
      <c r="J606" s="1376"/>
      <c r="K606" s="1376"/>
      <c r="L606" s="1376"/>
      <c r="M606" s="1376"/>
      <c r="N606" s="1376"/>
      <c r="O606" s="1376"/>
      <c r="P606" s="1376"/>
      <c r="Q606" s="1376"/>
      <c r="R606" s="1376"/>
      <c r="S606"/>
      <c r="T606" s="22"/>
      <c r="U606" t="s">
        <v>18</v>
      </c>
      <c r="V606"/>
      <c r="W606"/>
      <c r="X606"/>
      <c r="Y606"/>
      <c r="Z606"/>
      <c r="AA606" s="1376"/>
      <c r="AB606" s="1376"/>
      <c r="AC606" s="1376"/>
      <c r="AD606" s="1376"/>
      <c r="AE606" s="1376"/>
      <c r="AF606" s="1376"/>
      <c r="AG606" s="1376"/>
      <c r="AH606" s="1376"/>
      <c r="AI606" s="1376"/>
      <c r="AJ606" s="1376"/>
      <c r="AK606" s="1376"/>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6" t="s">
        <v>670</v>
      </c>
      <c r="O607" s="1336"/>
      <c r="P607"/>
      <c r="Q607"/>
      <c r="R607"/>
      <c r="S607"/>
      <c r="T607" s="22"/>
      <c r="U607" t="s">
        <v>20</v>
      </c>
      <c r="V607"/>
      <c r="W607"/>
      <c r="X607"/>
      <c r="Y607"/>
      <c r="Z607"/>
      <c r="AA607"/>
      <c r="AB607"/>
      <c r="AC607"/>
      <c r="AD607"/>
      <c r="AE607"/>
      <c r="AF607"/>
      <c r="AG607" s="1336"/>
      <c r="AH607" s="133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63">
        <f>C564</f>
        <v>0</v>
      </c>
      <c r="H609" s="1363"/>
      <c r="I609" s="1363"/>
      <c r="J609" s="1363"/>
      <c r="K609" s="1363"/>
      <c r="L609" s="1363"/>
      <c r="M609" s="1363"/>
      <c r="N609" s="1363"/>
      <c r="O609" s="1363"/>
      <c r="P609" s="1363"/>
      <c r="Q609" s="1363"/>
      <c r="R609" s="1363"/>
      <c r="T609" s="55" t="s">
        <v>363</v>
      </c>
      <c r="U609" t="s">
        <v>464</v>
      </c>
      <c r="Z609" s="1363">
        <f>C565</f>
        <v>0</v>
      </c>
      <c r="AA609" s="1363"/>
      <c r="AB609" s="1363"/>
      <c r="AC609" s="1363"/>
      <c r="AD609" s="1363"/>
      <c r="AE609" s="1363"/>
      <c r="AF609" s="1363"/>
      <c r="AG609" s="1363"/>
      <c r="AH609" s="1363"/>
      <c r="AI609" s="1363"/>
      <c r="AJ609" s="1363"/>
      <c r="AK609" s="1363"/>
      <c r="AZ609" s="3"/>
      <c r="BA609" s="3"/>
      <c r="BB609" s="3"/>
      <c r="BC609" s="3"/>
    </row>
    <row r="610" spans="1:55" ht="12.95" customHeight="1">
      <c r="B610" t="s">
        <v>85</v>
      </c>
      <c r="G610" s="1376"/>
      <c r="H610" s="1376"/>
      <c r="I610" s="1376"/>
      <c r="J610" s="1376"/>
      <c r="K610" s="1376"/>
      <c r="L610" s="1376"/>
      <c r="M610" s="1376"/>
      <c r="N610" s="1376"/>
      <c r="O610" s="1376"/>
      <c r="P610" s="1376"/>
      <c r="Q610" s="1376"/>
      <c r="R610" s="1376"/>
      <c r="U610" t="s">
        <v>85</v>
      </c>
      <c r="Z610" s="1376"/>
      <c r="AA610" s="1376"/>
      <c r="AB610" s="1376"/>
      <c r="AC610" s="1376"/>
      <c r="AD610" s="1376"/>
      <c r="AE610" s="1376"/>
      <c r="AF610" s="1376"/>
      <c r="AG610" s="1376"/>
      <c r="AH610" s="1376"/>
      <c r="AI610" s="1376"/>
      <c r="AJ610" s="1376"/>
      <c r="AK610" s="1376"/>
      <c r="AZ610" s="3"/>
      <c r="BA610" s="3"/>
      <c r="BB610" s="3"/>
      <c r="BC610" s="3"/>
    </row>
    <row r="611" spans="1:55" ht="12.95" customHeight="1">
      <c r="B611" t="s">
        <v>581</v>
      </c>
      <c r="G611" s="1376"/>
      <c r="H611" s="1376"/>
      <c r="I611" s="1376"/>
      <c r="J611" s="1376"/>
      <c r="K611" s="1376"/>
      <c r="L611" s="1376"/>
      <c r="M611" s="1376"/>
      <c r="N611" s="1376"/>
      <c r="O611" s="1376"/>
      <c r="P611" s="1376"/>
      <c r="Q611" s="1376"/>
      <c r="R611" s="1376"/>
      <c r="U611" t="s">
        <v>581</v>
      </c>
      <c r="Z611" s="1353"/>
      <c r="AA611" s="1353"/>
      <c r="AB611" s="1353"/>
      <c r="AC611" s="1353"/>
      <c r="AD611" s="1353"/>
      <c r="AE611" s="1353"/>
      <c r="AF611" s="1353"/>
      <c r="AG611" s="1353"/>
      <c r="AH611" s="1353"/>
      <c r="AI611" s="1353"/>
      <c r="AJ611" s="1353"/>
      <c r="AK611" s="1353"/>
      <c r="AZ611" s="3"/>
      <c r="BA611" s="3"/>
      <c r="BB611" s="3"/>
      <c r="BC611" s="3"/>
    </row>
    <row r="612" spans="1:55" ht="12.95" customHeight="1">
      <c r="B612" t="s">
        <v>17</v>
      </c>
      <c r="G612" s="1376"/>
      <c r="H612" s="1376"/>
      <c r="I612" s="1376"/>
      <c r="J612" s="1376"/>
      <c r="K612" s="1376"/>
      <c r="L612" s="1376"/>
      <c r="M612" s="1376"/>
      <c r="N612" s="1376"/>
      <c r="O612" s="1376"/>
      <c r="P612" s="1376"/>
      <c r="Q612" s="1376"/>
      <c r="R612" s="1376"/>
      <c r="U612" t="s">
        <v>17</v>
      </c>
      <c r="Z612" s="1353"/>
      <c r="AA612" s="1353"/>
      <c r="AB612" s="1353"/>
      <c r="AC612" s="1353"/>
      <c r="AD612" s="1353"/>
      <c r="AE612" s="1353"/>
      <c r="AF612" s="1353"/>
      <c r="AG612" s="1353"/>
      <c r="AH612" s="1353"/>
      <c r="AI612" s="1353"/>
      <c r="AJ612" s="1353"/>
      <c r="AK612" s="1353"/>
      <c r="AZ612" s="3"/>
      <c r="BA612" s="3"/>
      <c r="BB612" s="3"/>
      <c r="BC612" s="3"/>
    </row>
    <row r="613" spans="1:55" ht="12.95" customHeight="1">
      <c r="B613" t="s">
        <v>316</v>
      </c>
      <c r="G613" s="1348"/>
      <c r="H613" s="1348"/>
      <c r="I613" s="1348"/>
      <c r="J613" s="1348"/>
      <c r="K613" s="1348"/>
      <c r="L613" s="1348"/>
      <c r="O613" s="33" t="s">
        <v>206</v>
      </c>
      <c r="P613" s="1441"/>
      <c r="Q613" s="1441"/>
      <c r="R613" s="1441"/>
      <c r="U613" t="s">
        <v>316</v>
      </c>
      <c r="Z613" s="1348"/>
      <c r="AA613" s="1348"/>
      <c r="AB613" s="1348"/>
      <c r="AC613" s="1348"/>
      <c r="AD613" s="1348"/>
      <c r="AE613" s="1348"/>
      <c r="AH613" s="33" t="s">
        <v>206</v>
      </c>
      <c r="AI613" s="1441"/>
      <c r="AJ613" s="1441"/>
      <c r="AK613" s="1441"/>
      <c r="AZ613" s="3"/>
      <c r="BA613" s="3"/>
      <c r="BB613" s="3"/>
      <c r="BC613" s="3"/>
    </row>
    <row r="614" spans="1:55" ht="12.95" customHeight="1">
      <c r="B614" t="s">
        <v>18</v>
      </c>
      <c r="H614" s="1376"/>
      <c r="I614" s="1376"/>
      <c r="J614" s="1376"/>
      <c r="K614" s="1376"/>
      <c r="L614" s="1376"/>
      <c r="M614" s="1376"/>
      <c r="N614" s="1376"/>
      <c r="O614" s="1376"/>
      <c r="P614" s="1376"/>
      <c r="Q614" s="1376"/>
      <c r="R614" s="1376"/>
      <c r="U614" t="s">
        <v>18</v>
      </c>
      <c r="AA614" s="1376"/>
      <c r="AB614" s="1376"/>
      <c r="AC614" s="1376"/>
      <c r="AD614" s="1376"/>
      <c r="AE614" s="1376"/>
      <c r="AF614" s="1376"/>
      <c r="AG614" s="1376"/>
      <c r="AH614" s="1376"/>
      <c r="AI614" s="1376"/>
      <c r="AJ614" s="1376"/>
      <c r="AK614" s="1376"/>
      <c r="AU614" s="898"/>
      <c r="AV614" s="898"/>
      <c r="AW614" s="898"/>
      <c r="AX614" s="898"/>
      <c r="AY614" s="898"/>
      <c r="AZ614" s="3"/>
      <c r="BA614" s="3"/>
      <c r="BB614" s="3"/>
      <c r="BC614" s="3"/>
    </row>
    <row r="615" spans="1:55" ht="12.95" customHeight="1">
      <c r="B615" t="s">
        <v>20</v>
      </c>
      <c r="N615" s="1336" t="s">
        <v>670</v>
      </c>
      <c r="O615" s="1336"/>
      <c r="U615" t="s">
        <v>20</v>
      </c>
      <c r="AG615" s="1336" t="s">
        <v>670</v>
      </c>
      <c r="AH615" s="1336"/>
      <c r="AU615" s="898"/>
      <c r="AV615" s="898"/>
      <c r="AW615" s="898"/>
      <c r="AX615" s="898"/>
      <c r="AY615" s="898"/>
      <c r="AZ615" s="3"/>
      <c r="BA615" s="3"/>
      <c r="BB615" s="3"/>
      <c r="BC615" s="3"/>
    </row>
    <row r="616" spans="1:55" ht="12.95" customHeight="1">
      <c r="AZ616" s="3"/>
      <c r="BA616" s="3"/>
      <c r="BB616" s="3"/>
      <c r="BC616" s="3"/>
    </row>
    <row r="617" spans="1:55" ht="12.95" customHeight="1">
      <c r="A617" s="1264" t="s">
        <v>545</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row>
    <row r="618" spans="1:55"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1"/>
      <c r="C623" s="2"/>
      <c r="AU623" s="3"/>
      <c r="AZ623" s="3"/>
      <c r="BA623" s="3"/>
      <c r="BB623" s="3"/>
      <c r="BC623" s="3"/>
    </row>
    <row r="624" spans="1:55" ht="12.95" customHeight="1">
      <c r="B624" s="1704" t="s">
        <v>2104</v>
      </c>
      <c r="C624" s="1704"/>
      <c r="D624" s="1704"/>
      <c r="E624" s="1704"/>
      <c r="F624" s="1704"/>
      <c r="G624" s="1704"/>
      <c r="H624" s="1704"/>
      <c r="I624" s="1704"/>
      <c r="J624" s="1704"/>
      <c r="K624" s="1704"/>
      <c r="L624" s="1704"/>
      <c r="M624" s="1446" t="s">
        <v>2105</v>
      </c>
      <c r="N624" s="1446"/>
      <c r="O624" s="1446"/>
      <c r="P624" s="1446"/>
      <c r="Q624" s="1446" t="s">
        <v>1854</v>
      </c>
      <c r="R624" s="1446"/>
      <c r="S624" s="1446"/>
      <c r="T624" s="1446" t="s">
        <v>1852</v>
      </c>
      <c r="U624" s="1446"/>
      <c r="V624" s="1446"/>
      <c r="W624" s="1705" t="s">
        <v>454</v>
      </c>
      <c r="X624" s="1705"/>
      <c r="Y624" s="1705"/>
      <c r="Z624" s="1435" t="s">
        <v>2134</v>
      </c>
      <c r="AA624" s="1435"/>
      <c r="AB624" s="1436"/>
      <c r="AC624" s="1680" t="s">
        <v>1677</v>
      </c>
      <c r="AD624" s="1681"/>
      <c r="AE624" s="1682"/>
      <c r="AF624" s="1739" t="s">
        <v>1932</v>
      </c>
      <c r="AG624" s="1435"/>
      <c r="AH624" s="1435"/>
      <c r="AI624" s="1435"/>
      <c r="AJ624" s="1436"/>
      <c r="AK624" s="1693" t="s">
        <v>1933</v>
      </c>
      <c r="AL624" s="1694"/>
      <c r="AM624" s="1694"/>
      <c r="AN624" s="1695"/>
      <c r="AO624" s="1446" t="s">
        <v>455</v>
      </c>
      <c r="AP624" s="1446"/>
      <c r="AQ624" s="1446"/>
      <c r="AR624" s="1446"/>
      <c r="AS624" s="1446"/>
      <c r="AU624" s="3"/>
      <c r="AZ624" s="3"/>
      <c r="BA624" s="3"/>
      <c r="BB624" s="3"/>
      <c r="BC624" s="3"/>
    </row>
    <row r="625" spans="2:157" ht="12.95" customHeight="1">
      <c r="B625" s="1704"/>
      <c r="C625" s="1704"/>
      <c r="D625" s="1704"/>
      <c r="E625" s="1704"/>
      <c r="F625" s="1704"/>
      <c r="G625" s="1704"/>
      <c r="H625" s="1704"/>
      <c r="I625" s="1704"/>
      <c r="J625" s="1704"/>
      <c r="K625" s="1704"/>
      <c r="L625" s="1704"/>
      <c r="M625" s="1446"/>
      <c r="N625" s="1446"/>
      <c r="O625" s="1446"/>
      <c r="P625" s="1446"/>
      <c r="Q625" s="1446"/>
      <c r="R625" s="1446"/>
      <c r="S625" s="1446"/>
      <c r="T625" s="1446"/>
      <c r="U625" s="1446"/>
      <c r="V625" s="1446"/>
      <c r="W625" s="1705"/>
      <c r="X625" s="1705"/>
      <c r="Y625" s="1705"/>
      <c r="Z625" s="1437"/>
      <c r="AA625" s="1437"/>
      <c r="AB625" s="1438"/>
      <c r="AC625" s="1683"/>
      <c r="AD625" s="1684"/>
      <c r="AE625" s="1685"/>
      <c r="AF625" s="1740"/>
      <c r="AG625" s="1437"/>
      <c r="AH625" s="1437"/>
      <c r="AI625" s="1437"/>
      <c r="AJ625" s="1438"/>
      <c r="AK625" s="1696"/>
      <c r="AL625" s="1697"/>
      <c r="AM625" s="1697"/>
      <c r="AN625" s="1698"/>
      <c r="AO625" s="1446"/>
      <c r="AP625" s="1446"/>
      <c r="AQ625" s="1446"/>
      <c r="AR625" s="1446"/>
      <c r="AS625" s="1446"/>
      <c r="AU625" s="3"/>
      <c r="AZ625" s="3"/>
      <c r="BA625" s="3"/>
      <c r="BB625" s="3"/>
      <c r="BC625" s="3"/>
      <c r="BD625" s="3"/>
    </row>
    <row r="626" spans="2:157" ht="12.95" customHeight="1">
      <c r="B626" s="1704"/>
      <c r="C626" s="1704"/>
      <c r="D626" s="1704"/>
      <c r="E626" s="1704"/>
      <c r="F626" s="1704"/>
      <c r="G626" s="1704"/>
      <c r="H626" s="1704"/>
      <c r="I626" s="1704"/>
      <c r="J626" s="1704"/>
      <c r="K626" s="1704"/>
      <c r="L626" s="1704"/>
      <c r="M626" s="1446"/>
      <c r="N626" s="1446"/>
      <c r="O626" s="1446"/>
      <c r="P626" s="1446"/>
      <c r="Q626" s="1446"/>
      <c r="R626" s="1446"/>
      <c r="S626" s="1446"/>
      <c r="T626" s="1446"/>
      <c r="U626" s="1446"/>
      <c r="V626" s="1446"/>
      <c r="W626" s="1705"/>
      <c r="X626" s="1705"/>
      <c r="Y626" s="1705"/>
      <c r="Z626" s="1439"/>
      <c r="AA626" s="1439"/>
      <c r="AB626" s="1440"/>
      <c r="AC626" s="1686"/>
      <c r="AD626" s="1687"/>
      <c r="AE626" s="1688"/>
      <c r="AF626" s="1741"/>
      <c r="AG626" s="1439"/>
      <c r="AH626" s="1439"/>
      <c r="AI626" s="1439"/>
      <c r="AJ626" s="1440"/>
      <c r="AK626" s="1699"/>
      <c r="AL626" s="1700"/>
      <c r="AM626" s="1700"/>
      <c r="AN626" s="1701"/>
      <c r="AO626" s="1446"/>
      <c r="AP626" s="1446"/>
      <c r="AQ626" s="1446"/>
      <c r="AR626" s="1446"/>
      <c r="AS626" s="1446"/>
      <c r="AT626" s="3"/>
      <c r="AU626" s="3"/>
      <c r="AZ626" s="3"/>
      <c r="BA626" s="3"/>
      <c r="BB626" s="3"/>
      <c r="BC626" s="3"/>
      <c r="BD626" s="3"/>
    </row>
    <row r="627" spans="2:157" ht="12.95" customHeight="1">
      <c r="B627" s="51" t="s">
        <v>112</v>
      </c>
      <c r="C627" s="1692" t="s">
        <v>2724</v>
      </c>
      <c r="D627" s="1692"/>
      <c r="E627" s="1692"/>
      <c r="F627" s="1692"/>
      <c r="G627" s="1692"/>
      <c r="H627" s="1692"/>
      <c r="I627" s="1692"/>
      <c r="J627" s="1692"/>
      <c r="K627" s="1692"/>
      <c r="L627" s="1692"/>
      <c r="M627" s="1635" t="s">
        <v>2115</v>
      </c>
      <c r="N627" s="1635"/>
      <c r="O627" s="1635"/>
      <c r="P627" s="1635"/>
      <c r="Q627" s="1430">
        <f>17*12</f>
        <v>204</v>
      </c>
      <c r="R627" s="1430"/>
      <c r="S627" s="1431"/>
      <c r="T627" s="1429">
        <f>40*12</f>
        <v>480</v>
      </c>
      <c r="U627" s="1430"/>
      <c r="V627" s="1431"/>
      <c r="W627" s="1442">
        <v>6.8349999999999994E-2</v>
      </c>
      <c r="X627" s="1443"/>
      <c r="Y627" s="1444"/>
      <c r="Z627" s="1479" t="s">
        <v>2133</v>
      </c>
      <c r="AA627" s="1480"/>
      <c r="AB627" s="1481"/>
      <c r="AC627" s="1461">
        <v>1</v>
      </c>
      <c r="AD627" s="1462"/>
      <c r="AE627" s="1463"/>
      <c r="AF627" s="1476">
        <f>-PMT(W627/12,T627,AO627,0)*12</f>
        <v>1010181.492984977</v>
      </c>
      <c r="AG627" s="1477"/>
      <c r="AH627" s="1477"/>
      <c r="AI627" s="1477"/>
      <c r="AJ627" s="1478"/>
      <c r="AK627" s="1432"/>
      <c r="AL627" s="1433"/>
      <c r="AM627" s="1433"/>
      <c r="AN627" s="1434"/>
      <c r="AO627" s="1474">
        <v>13812000</v>
      </c>
      <c r="AP627" s="1474"/>
      <c r="AQ627" s="1474"/>
      <c r="AR627" s="1474"/>
      <c r="AS627" s="1474"/>
      <c r="AT627" s="3"/>
      <c r="AU627" s="3"/>
      <c r="AZ627" s="3"/>
      <c r="BA627" s="3"/>
      <c r="BB627" s="3"/>
      <c r="BC627" s="3"/>
      <c r="BD627" s="3"/>
    </row>
    <row r="628" spans="2:157" ht="12.95" customHeight="1">
      <c r="B628" s="52" t="s">
        <v>113</v>
      </c>
      <c r="C628" s="1692" t="s">
        <v>2679</v>
      </c>
      <c r="D628" s="1692"/>
      <c r="E628" s="1692"/>
      <c r="F628" s="1692"/>
      <c r="G628" s="1692"/>
      <c r="H628" s="1692"/>
      <c r="I628" s="1692"/>
      <c r="J628" s="1692"/>
      <c r="K628" s="1692"/>
      <c r="L628" s="1692"/>
      <c r="M628" s="1635" t="s">
        <v>2115</v>
      </c>
      <c r="N628" s="1635"/>
      <c r="O628" s="1635"/>
      <c r="P628" s="1635"/>
      <c r="Q628" s="1429">
        <f>55*12</f>
        <v>660</v>
      </c>
      <c r="R628" s="1430"/>
      <c r="S628" s="1431"/>
      <c r="T628" s="1429">
        <v>660</v>
      </c>
      <c r="U628" s="1430"/>
      <c r="V628" s="1431"/>
      <c r="W628" s="1442">
        <v>0</v>
      </c>
      <c r="X628" s="1443"/>
      <c r="Y628" s="1444"/>
      <c r="Z628" s="1479" t="s">
        <v>458</v>
      </c>
      <c r="AA628" s="1480"/>
      <c r="AB628" s="1481"/>
      <c r="AC628" s="1461">
        <v>2</v>
      </c>
      <c r="AD628" s="1462"/>
      <c r="AE628" s="1463"/>
      <c r="AF628" s="1476"/>
      <c r="AG628" s="1477"/>
      <c r="AH628" s="1477"/>
      <c r="AI628" s="1477"/>
      <c r="AJ628" s="1478"/>
      <c r="AK628" s="1432"/>
      <c r="AL628" s="1433"/>
      <c r="AM628" s="1433"/>
      <c r="AN628" s="1434"/>
      <c r="AO628" s="1497">
        <v>10000000</v>
      </c>
      <c r="AP628" s="1498"/>
      <c r="AQ628" s="1498"/>
      <c r="AR628" s="1498"/>
      <c r="AS628" s="1499"/>
      <c r="AT628" s="1147" t="str">
        <f>IF(AND(NOT(C627=""),C628="",NOT(C629="")),"!","")</f>
        <v/>
      </c>
      <c r="AU628" s="3"/>
      <c r="AZ628" s="3"/>
      <c r="BA628" s="3"/>
      <c r="BB628" s="3"/>
      <c r="BC628" s="3"/>
      <c r="BD628" s="3"/>
    </row>
    <row r="629" spans="2:157" ht="12.95" customHeight="1">
      <c r="B629" s="52" t="s">
        <v>119</v>
      </c>
      <c r="C629" s="1692" t="s">
        <v>2746</v>
      </c>
      <c r="D629" s="1692"/>
      <c r="E629" s="1692"/>
      <c r="F629" s="1692"/>
      <c r="G629" s="1692"/>
      <c r="H629" s="1692"/>
      <c r="I629" s="1692"/>
      <c r="J629" s="1692"/>
      <c r="K629" s="1692"/>
      <c r="L629" s="1692"/>
      <c r="M629" s="1635" t="s">
        <v>2115</v>
      </c>
      <c r="N629" s="1635"/>
      <c r="O629" s="1635"/>
      <c r="P629" s="1635"/>
      <c r="Q629" s="1429">
        <f>55*12</f>
        <v>660</v>
      </c>
      <c r="R629" s="1430"/>
      <c r="S629" s="1431"/>
      <c r="T629" s="1429">
        <v>660</v>
      </c>
      <c r="U629" s="1430"/>
      <c r="V629" s="1431"/>
      <c r="W629" s="1442">
        <v>0.03</v>
      </c>
      <c r="X629" s="1443"/>
      <c r="Y629" s="1444"/>
      <c r="Z629" s="1479" t="s">
        <v>458</v>
      </c>
      <c r="AA629" s="1480"/>
      <c r="AB629" s="1481"/>
      <c r="AC629" s="1461">
        <v>3</v>
      </c>
      <c r="AD629" s="1462"/>
      <c r="AE629" s="1463"/>
      <c r="AF629" s="1476"/>
      <c r="AG629" s="1477"/>
      <c r="AH629" s="1477"/>
      <c r="AI629" s="1477"/>
      <c r="AJ629" s="1478"/>
      <c r="AK629" s="1432"/>
      <c r="AL629" s="1433"/>
      <c r="AM629" s="1433"/>
      <c r="AN629" s="1434"/>
      <c r="AO629" s="1497">
        <v>20000000</v>
      </c>
      <c r="AP629" s="1498"/>
      <c r="AQ629" s="1498"/>
      <c r="AR629" s="1498"/>
      <c r="AS629" s="1499"/>
      <c r="AT629" s="1147" t="str">
        <f t="shared" ref="AT629:AT638" si="1">IF(AND(NOT(C628=""),C629="",NOT(C630="")),"!","")</f>
        <v/>
      </c>
      <c r="AU629" s="3"/>
      <c r="AZ629" s="3"/>
      <c r="BA629" s="3"/>
      <c r="BB629" s="3"/>
      <c r="BC629" s="3"/>
      <c r="BD629" s="3"/>
    </row>
    <row r="630" spans="2:157" ht="12.95" customHeight="1">
      <c r="B630" s="52" t="s">
        <v>582</v>
      </c>
      <c r="C630" s="1692" t="s">
        <v>2722</v>
      </c>
      <c r="D630" s="1349"/>
      <c r="E630" s="1349"/>
      <c r="F630" s="1349"/>
      <c r="G630" s="1349"/>
      <c r="H630" s="1349"/>
      <c r="I630" s="1349"/>
      <c r="J630" s="1349"/>
      <c r="K630" s="1349"/>
      <c r="L630" s="1349"/>
      <c r="M630" s="1635" t="s">
        <v>2106</v>
      </c>
      <c r="N630" s="1635"/>
      <c r="O630" s="1635"/>
      <c r="P630" s="1635"/>
      <c r="Q630" s="1429"/>
      <c r="R630" s="1430"/>
      <c r="S630" s="1431"/>
      <c r="T630" s="1429"/>
      <c r="U630" s="1430"/>
      <c r="V630" s="1431"/>
      <c r="W630" s="1442"/>
      <c r="X630" s="1443"/>
      <c r="Y630" s="1444"/>
      <c r="Z630" s="1479" t="s">
        <v>300</v>
      </c>
      <c r="AA630" s="1480"/>
      <c r="AB630" s="1481"/>
      <c r="AC630" s="1461"/>
      <c r="AD630" s="1462"/>
      <c r="AE630" s="1463"/>
      <c r="AF630" s="1476"/>
      <c r="AG630" s="1477"/>
      <c r="AH630" s="1477"/>
      <c r="AI630" s="1477"/>
      <c r="AJ630" s="1478"/>
      <c r="AK630" s="1432"/>
      <c r="AL630" s="1433"/>
      <c r="AM630" s="1433"/>
      <c r="AN630" s="1434"/>
      <c r="AO630" s="1497">
        <v>1038342</v>
      </c>
      <c r="AP630" s="1498"/>
      <c r="AQ630" s="1498"/>
      <c r="AR630" s="1498"/>
      <c r="AS630" s="1499"/>
      <c r="AT630" s="1147" t="str">
        <f t="shared" si="1"/>
        <v/>
      </c>
      <c r="AU630" s="3"/>
      <c r="AZ630" s="3"/>
      <c r="BA630" s="3"/>
      <c r="BB630" s="3"/>
      <c r="BC630" s="3"/>
      <c r="BD630" s="3"/>
    </row>
    <row r="631" spans="2:157" ht="12.95" customHeight="1">
      <c r="B631" s="52" t="s">
        <v>764</v>
      </c>
      <c r="C631" s="1692" t="s">
        <v>2708</v>
      </c>
      <c r="D631" s="1349"/>
      <c r="E631" s="1349"/>
      <c r="F631" s="1349"/>
      <c r="G631" s="1349"/>
      <c r="H631" s="1349"/>
      <c r="I631" s="1349"/>
      <c r="J631" s="1349"/>
      <c r="K631" s="1349"/>
      <c r="L631" s="1349"/>
      <c r="M631" s="1635" t="s">
        <v>2108</v>
      </c>
      <c r="N631" s="1635"/>
      <c r="O631" s="1635"/>
      <c r="P631" s="1635"/>
      <c r="Q631" s="1429"/>
      <c r="R631" s="1430"/>
      <c r="S631" s="1431"/>
      <c r="T631" s="1429"/>
      <c r="U631" s="1430"/>
      <c r="V631" s="1431"/>
      <c r="W631" s="1442"/>
      <c r="X631" s="1443"/>
      <c r="Y631" s="1444"/>
      <c r="Z631" s="1479" t="s">
        <v>459</v>
      </c>
      <c r="AA631" s="1480"/>
      <c r="AB631" s="1481"/>
      <c r="AC631" s="1461"/>
      <c r="AD631" s="1462"/>
      <c r="AE631" s="1463"/>
      <c r="AF631" s="1476"/>
      <c r="AG631" s="1477"/>
      <c r="AH631" s="1477"/>
      <c r="AI631" s="1477"/>
      <c r="AJ631" s="1478"/>
      <c r="AK631" s="1432"/>
      <c r="AL631" s="1433"/>
      <c r="AM631" s="1433"/>
      <c r="AN631" s="1434"/>
      <c r="AO631" s="1497">
        <v>5100000</v>
      </c>
      <c r="AP631" s="1498"/>
      <c r="AQ631" s="1498"/>
      <c r="AR631" s="1498"/>
      <c r="AS631" s="1499"/>
      <c r="AT631" s="1147" t="str">
        <f t="shared" si="1"/>
        <v/>
      </c>
      <c r="AU631" s="3"/>
      <c r="AZ631" s="3"/>
      <c r="BA631" s="3"/>
      <c r="BB631" s="3"/>
      <c r="BC631" s="3"/>
      <c r="BD631" s="3"/>
    </row>
    <row r="632" spans="2:157" ht="12.95" customHeight="1">
      <c r="B632" s="52" t="s">
        <v>585</v>
      </c>
      <c r="C632" s="1692"/>
      <c r="D632" s="1349"/>
      <c r="E632" s="1349"/>
      <c r="F632" s="1349"/>
      <c r="G632" s="1349"/>
      <c r="H632" s="1349"/>
      <c r="I632" s="1349"/>
      <c r="J632" s="1349"/>
      <c r="K632" s="1349"/>
      <c r="L632" s="1349"/>
      <c r="M632" s="1635" t="s">
        <v>1185</v>
      </c>
      <c r="N632" s="1635"/>
      <c r="O632" s="1635"/>
      <c r="P632" s="1635"/>
      <c r="Q632" s="1429"/>
      <c r="R632" s="1430"/>
      <c r="S632" s="1431"/>
      <c r="T632" s="1429"/>
      <c r="U632" s="1430"/>
      <c r="V632" s="1431"/>
      <c r="W632" s="1442"/>
      <c r="X632" s="1443"/>
      <c r="Y632" s="1444"/>
      <c r="Z632" s="1479" t="s">
        <v>1185</v>
      </c>
      <c r="AA632" s="1480"/>
      <c r="AB632" s="1481"/>
      <c r="AC632" s="1461"/>
      <c r="AD632" s="1462"/>
      <c r="AE632" s="1463"/>
      <c r="AF632" s="1476"/>
      <c r="AG632" s="1477"/>
      <c r="AH632" s="1477"/>
      <c r="AI632" s="1477"/>
      <c r="AJ632" s="1478"/>
      <c r="AK632" s="1432"/>
      <c r="AL632" s="1433"/>
      <c r="AM632" s="1433"/>
      <c r="AN632" s="1434"/>
      <c r="AO632" s="1497"/>
      <c r="AP632" s="1498"/>
      <c r="AQ632" s="1498"/>
      <c r="AR632" s="1498"/>
      <c r="AS632" s="1499"/>
      <c r="AT632" s="1147" t="str">
        <f t="shared" si="1"/>
        <v/>
      </c>
      <c r="AU632" s="3"/>
      <c r="AZ632" s="3"/>
      <c r="BA632" s="3"/>
      <c r="BB632" s="3"/>
      <c r="BC632" s="3"/>
      <c r="BD632" s="3"/>
    </row>
    <row r="633" spans="2:157" ht="12.95" customHeight="1">
      <c r="B633" s="52" t="s">
        <v>456</v>
      </c>
      <c r="C633" s="1349"/>
      <c r="D633" s="1349"/>
      <c r="E633" s="1349"/>
      <c r="F633" s="1349"/>
      <c r="G633" s="1349"/>
      <c r="H633" s="1349"/>
      <c r="I633" s="1349"/>
      <c r="J633" s="1349"/>
      <c r="K633" s="1349"/>
      <c r="L633" s="1349"/>
      <c r="M633" s="1635" t="s">
        <v>1185</v>
      </c>
      <c r="N633" s="1635"/>
      <c r="O633" s="1635"/>
      <c r="P633" s="1635"/>
      <c r="Q633" s="1429"/>
      <c r="R633" s="1430"/>
      <c r="S633" s="1431"/>
      <c r="T633" s="1429"/>
      <c r="U633" s="1430"/>
      <c r="V633" s="1431"/>
      <c r="W633" s="1442"/>
      <c r="X633" s="1443"/>
      <c r="Y633" s="1444"/>
      <c r="Z633" s="1479" t="s">
        <v>1185</v>
      </c>
      <c r="AA633" s="1480"/>
      <c r="AB633" s="1481"/>
      <c r="AC633" s="1461"/>
      <c r="AD633" s="1462"/>
      <c r="AE633" s="1463"/>
      <c r="AF633" s="1476"/>
      <c r="AG633" s="1477"/>
      <c r="AH633" s="1477"/>
      <c r="AI633" s="1477"/>
      <c r="AJ633" s="1478"/>
      <c r="AK633" s="1432"/>
      <c r="AL633" s="1433"/>
      <c r="AM633" s="1433"/>
      <c r="AN633" s="1434"/>
      <c r="AO633" s="1497"/>
      <c r="AP633" s="1498"/>
      <c r="AQ633" s="1498"/>
      <c r="AR633" s="1498"/>
      <c r="AS633" s="1499"/>
      <c r="AT633" s="1147" t="str">
        <f t="shared" si="1"/>
        <v/>
      </c>
      <c r="AU633" s="3"/>
      <c r="AV633" s="3"/>
      <c r="AW633" s="3"/>
      <c r="AX633" s="3"/>
      <c r="AY633" s="3"/>
      <c r="AZ633" s="3"/>
      <c r="BA633" s="3"/>
      <c r="BB633" s="3"/>
      <c r="BC633" s="3"/>
      <c r="BD633" s="3"/>
    </row>
    <row r="634" spans="2:157" ht="12.95" customHeight="1">
      <c r="B634" s="52" t="s">
        <v>457</v>
      </c>
      <c r="C634" s="1349"/>
      <c r="D634" s="1349"/>
      <c r="E634" s="1349"/>
      <c r="F634" s="1349"/>
      <c r="G634" s="1349"/>
      <c r="H634" s="1349"/>
      <c r="I634" s="1349"/>
      <c r="J634" s="1349"/>
      <c r="K634" s="1349"/>
      <c r="L634" s="1349"/>
      <c r="M634" s="1635" t="s">
        <v>1185</v>
      </c>
      <c r="N634" s="1635"/>
      <c r="O634" s="1635"/>
      <c r="P634" s="1635"/>
      <c r="Q634" s="1429"/>
      <c r="R634" s="1430"/>
      <c r="S634" s="1431"/>
      <c r="T634" s="1429"/>
      <c r="U634" s="1430"/>
      <c r="V634" s="1431"/>
      <c r="W634" s="1442"/>
      <c r="X634" s="1443"/>
      <c r="Y634" s="1444"/>
      <c r="Z634" s="1479" t="s">
        <v>1185</v>
      </c>
      <c r="AA634" s="1480"/>
      <c r="AB634" s="1481"/>
      <c r="AC634" s="1461"/>
      <c r="AD634" s="1462"/>
      <c r="AE634" s="1463"/>
      <c r="AF634" s="1476"/>
      <c r="AG634" s="1477"/>
      <c r="AH634" s="1477"/>
      <c r="AI634" s="1477"/>
      <c r="AJ634" s="1478"/>
      <c r="AK634" s="1432"/>
      <c r="AL634" s="1433"/>
      <c r="AM634" s="1433"/>
      <c r="AN634" s="1434"/>
      <c r="AO634" s="1497"/>
      <c r="AP634" s="1498"/>
      <c r="AQ634" s="1498"/>
      <c r="AR634" s="1498"/>
      <c r="AS634" s="1499"/>
      <c r="AT634" s="1147" t="str">
        <f t="shared" si="1"/>
        <v/>
      </c>
      <c r="AU634" s="3"/>
      <c r="AV634" s="3"/>
      <c r="AW634" s="3"/>
      <c r="AX634" s="3"/>
      <c r="AY634" s="3"/>
      <c r="AZ634" s="3"/>
      <c r="BA634" s="3" t="s">
        <v>1185</v>
      </c>
      <c r="BB634" s="3"/>
      <c r="BC634" s="3"/>
      <c r="BD634" s="3"/>
    </row>
    <row r="635" spans="2:157" ht="12.95" customHeight="1">
      <c r="B635" s="52" t="s">
        <v>462</v>
      </c>
      <c r="C635" s="1349"/>
      <c r="D635" s="1349"/>
      <c r="E635" s="1349"/>
      <c r="F635" s="1349"/>
      <c r="G635" s="1349"/>
      <c r="H635" s="1349"/>
      <c r="I635" s="1349"/>
      <c r="J635" s="1349"/>
      <c r="K635" s="1349"/>
      <c r="L635" s="1349"/>
      <c r="M635" s="1635" t="s">
        <v>1185</v>
      </c>
      <c r="N635" s="1635"/>
      <c r="O635" s="1635"/>
      <c r="P635" s="1635"/>
      <c r="Q635" s="1429"/>
      <c r="R635" s="1430"/>
      <c r="S635" s="1431"/>
      <c r="T635" s="1429"/>
      <c r="U635" s="1430"/>
      <c r="V635" s="1431"/>
      <c r="W635" s="1442"/>
      <c r="X635" s="1443"/>
      <c r="Y635" s="1444"/>
      <c r="Z635" s="1479" t="s">
        <v>1185</v>
      </c>
      <c r="AA635" s="1480"/>
      <c r="AB635" s="1481"/>
      <c r="AC635" s="1461"/>
      <c r="AD635" s="1462"/>
      <c r="AE635" s="1463"/>
      <c r="AF635" s="1476"/>
      <c r="AG635" s="1477"/>
      <c r="AH635" s="1477"/>
      <c r="AI635" s="1477"/>
      <c r="AJ635" s="1478"/>
      <c r="AK635" s="1432"/>
      <c r="AL635" s="1433"/>
      <c r="AM635" s="1433"/>
      <c r="AN635" s="1434"/>
      <c r="AO635" s="1497"/>
      <c r="AP635" s="1498"/>
      <c r="AQ635" s="1498"/>
      <c r="AR635" s="1498"/>
      <c r="AS635" s="1499"/>
      <c r="AT635" s="1147"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60">
        <f t="shared" ref="DX635:DX669" si="2">EZ718*(CP718/$CP$753)</f>
        <v>360.5</v>
      </c>
      <c r="DY635" s="1460"/>
      <c r="DZ635" s="1460"/>
      <c r="EA635" s="1460"/>
      <c r="EB635" s="1460"/>
      <c r="EC635" s="1460" t="e">
        <f t="shared" ref="EC635:EC669" si="3">FE718*(CU718/$CU$753)</f>
        <v>#VALUE!</v>
      </c>
      <c r="ED635" s="1460"/>
      <c r="EE635" s="1460"/>
      <c r="EF635" s="1460"/>
      <c r="EG635" s="1460"/>
      <c r="EH635" s="1460" t="e">
        <f t="shared" ref="EH635:EH669" si="4">FJ718*(CZ718/$CZ$753)</f>
        <v>#VALUE!</v>
      </c>
      <c r="EI635" s="1460"/>
      <c r="EJ635" s="1460"/>
      <c r="EK635" s="1460"/>
      <c r="EL635" s="1460"/>
      <c r="EM635" s="1460" t="e">
        <f t="shared" ref="EM635:EM669" si="5">FO718*(DE718/$DE$753)</f>
        <v>#VALUE!</v>
      </c>
      <c r="EN635" s="1460"/>
      <c r="EO635" s="1460"/>
      <c r="EP635" s="1460"/>
      <c r="EQ635" s="1460"/>
      <c r="ER635" s="1460" t="e">
        <f t="shared" ref="ER635:ER669" si="6">FT718*(DJ718/$DJ$753)</f>
        <v>#VALUE!</v>
      </c>
      <c r="ES635" s="1460"/>
      <c r="ET635" s="1460"/>
      <c r="EU635" s="1460"/>
      <c r="EV635" s="1460"/>
      <c r="EW635" s="1460" t="e">
        <f t="shared" ref="EW635:EW669" si="7">FY718*(DO718/$DO$753)</f>
        <v>#VALUE!</v>
      </c>
      <c r="EX635" s="1460"/>
      <c r="EY635" s="1460"/>
      <c r="EZ635" s="1460"/>
      <c r="FA635" s="1460"/>
    </row>
    <row r="636" spans="2:157" ht="12.95" customHeight="1">
      <c r="B636" s="52" t="s">
        <v>647</v>
      </c>
      <c r="C636" s="1349"/>
      <c r="D636" s="1349"/>
      <c r="E636" s="1349"/>
      <c r="F636" s="1349"/>
      <c r="G636" s="1349"/>
      <c r="H636" s="1349"/>
      <c r="I636" s="1349"/>
      <c r="J636" s="1349"/>
      <c r="K636" s="1349"/>
      <c r="L636" s="1349"/>
      <c r="M636" s="1635" t="s">
        <v>1185</v>
      </c>
      <c r="N636" s="1635"/>
      <c r="O636" s="1635"/>
      <c r="P636" s="1635"/>
      <c r="Q636" s="1429"/>
      <c r="R636" s="1430"/>
      <c r="S636" s="1431"/>
      <c r="T636" s="1429"/>
      <c r="U636" s="1430"/>
      <c r="V636" s="1431"/>
      <c r="W636" s="1442"/>
      <c r="X636" s="1443"/>
      <c r="Y636" s="1444"/>
      <c r="Z636" s="1479" t="s">
        <v>1185</v>
      </c>
      <c r="AA636" s="1480"/>
      <c r="AB636" s="1481"/>
      <c r="AC636" s="1461"/>
      <c r="AD636" s="1462"/>
      <c r="AE636" s="1463"/>
      <c r="AF636" s="1476"/>
      <c r="AG636" s="1477"/>
      <c r="AH636" s="1477"/>
      <c r="AI636" s="1477"/>
      <c r="AJ636" s="1478"/>
      <c r="AK636" s="1432"/>
      <c r="AL636" s="1433"/>
      <c r="AM636" s="1433"/>
      <c r="AN636" s="1434"/>
      <c r="AO636" s="1497"/>
      <c r="AP636" s="1498"/>
      <c r="AQ636" s="1498"/>
      <c r="AR636" s="1498"/>
      <c r="AS636" s="1499"/>
      <c r="AT636" s="1147"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60" t="e">
        <f t="shared" si="2"/>
        <v>#VALUE!</v>
      </c>
      <c r="DY636" s="1460"/>
      <c r="DZ636" s="1460"/>
      <c r="EA636" s="1460"/>
      <c r="EB636" s="1460"/>
      <c r="EC636" s="1460">
        <f t="shared" si="3"/>
        <v>390.51724137931035</v>
      </c>
      <c r="ED636" s="1460"/>
      <c r="EE636" s="1460"/>
      <c r="EF636" s="1460"/>
      <c r="EG636" s="1460"/>
      <c r="EH636" s="1460" t="e">
        <f t="shared" si="4"/>
        <v>#VALUE!</v>
      </c>
      <c r="EI636" s="1460"/>
      <c r="EJ636" s="1460"/>
      <c r="EK636" s="1460"/>
      <c r="EL636" s="1460"/>
      <c r="EM636" s="1460" t="e">
        <f t="shared" si="5"/>
        <v>#VALUE!</v>
      </c>
      <c r="EN636" s="1460"/>
      <c r="EO636" s="1460"/>
      <c r="EP636" s="1460"/>
      <c r="EQ636" s="1460"/>
      <c r="ER636" s="1460" t="e">
        <f t="shared" si="6"/>
        <v>#VALUE!</v>
      </c>
      <c r="ES636" s="1460"/>
      <c r="ET636" s="1460"/>
      <c r="EU636" s="1460"/>
      <c r="EV636" s="1460"/>
      <c r="EW636" s="1460" t="e">
        <f t="shared" si="7"/>
        <v>#VALUE!</v>
      </c>
      <c r="EX636" s="1460"/>
      <c r="EY636" s="1460"/>
      <c r="EZ636" s="1460"/>
      <c r="FA636" s="1460"/>
    </row>
    <row r="637" spans="2:157" ht="12.95" customHeight="1">
      <c r="B637" s="52" t="s">
        <v>362</v>
      </c>
      <c r="C637" s="1349"/>
      <c r="D637" s="1349"/>
      <c r="E637" s="1349"/>
      <c r="F637" s="1349"/>
      <c r="G637" s="1349"/>
      <c r="H637" s="1349"/>
      <c r="I637" s="1349"/>
      <c r="J637" s="1349"/>
      <c r="K637" s="1349"/>
      <c r="L637" s="1349"/>
      <c r="M637" s="1635" t="s">
        <v>1185</v>
      </c>
      <c r="N637" s="1635"/>
      <c r="O637" s="1635"/>
      <c r="P637" s="1635"/>
      <c r="Q637" s="1429"/>
      <c r="R637" s="1430"/>
      <c r="S637" s="1431"/>
      <c r="T637" s="1429"/>
      <c r="U637" s="1430"/>
      <c r="V637" s="1431"/>
      <c r="W637" s="1442"/>
      <c r="X637" s="1443"/>
      <c r="Y637" s="1444"/>
      <c r="Z637" s="1479" t="s">
        <v>1185</v>
      </c>
      <c r="AA637" s="1480"/>
      <c r="AB637" s="1481"/>
      <c r="AC637" s="1461"/>
      <c r="AD637" s="1462"/>
      <c r="AE637" s="1463"/>
      <c r="AF637" s="1476"/>
      <c r="AG637" s="1477"/>
      <c r="AH637" s="1477"/>
      <c r="AI637" s="1477"/>
      <c r="AJ637" s="1478"/>
      <c r="AK637" s="1432"/>
      <c r="AL637" s="1433"/>
      <c r="AM637" s="1433"/>
      <c r="AN637" s="1434"/>
      <c r="AO637" s="1497"/>
      <c r="AP637" s="1498"/>
      <c r="AQ637" s="1498"/>
      <c r="AR637" s="1498"/>
      <c r="AS637" s="1499"/>
      <c r="AT637" s="1147"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60">
        <f t="shared" si="2"/>
        <v>758</v>
      </c>
      <c r="DY637" s="1460"/>
      <c r="DZ637" s="1460"/>
      <c r="EA637" s="1460"/>
      <c r="EB637" s="1460"/>
      <c r="EC637" s="1460" t="e">
        <f t="shared" si="3"/>
        <v>#VALUE!</v>
      </c>
      <c r="ED637" s="1460"/>
      <c r="EE637" s="1460"/>
      <c r="EF637" s="1460"/>
      <c r="EG637" s="1460"/>
      <c r="EH637" s="1460" t="e">
        <f t="shared" si="4"/>
        <v>#VALUE!</v>
      </c>
      <c r="EI637" s="1460"/>
      <c r="EJ637" s="1460"/>
      <c r="EK637" s="1460"/>
      <c r="EL637" s="1460"/>
      <c r="EM637" s="1460" t="e">
        <f t="shared" si="5"/>
        <v>#VALUE!</v>
      </c>
      <c r="EN637" s="1460"/>
      <c r="EO637" s="1460"/>
      <c r="EP637" s="1460"/>
      <c r="EQ637" s="1460"/>
      <c r="ER637" s="1460" t="e">
        <f t="shared" si="6"/>
        <v>#VALUE!</v>
      </c>
      <c r="ES637" s="1460"/>
      <c r="ET637" s="1460"/>
      <c r="EU637" s="1460"/>
      <c r="EV637" s="1460"/>
      <c r="EW637" s="1460" t="e">
        <f t="shared" si="7"/>
        <v>#VALUE!</v>
      </c>
      <c r="EX637" s="1460"/>
      <c r="EY637" s="1460"/>
      <c r="EZ637" s="1460"/>
      <c r="FA637" s="1460"/>
    </row>
    <row r="638" spans="2:157" ht="12.95" customHeight="1">
      <c r="B638" s="52" t="s">
        <v>363</v>
      </c>
      <c r="C638" s="1349"/>
      <c r="D638" s="1349"/>
      <c r="E638" s="1349"/>
      <c r="F638" s="1349"/>
      <c r="G638" s="1349"/>
      <c r="H638" s="1349"/>
      <c r="I638" s="1349"/>
      <c r="J638" s="1349"/>
      <c r="K638" s="1349"/>
      <c r="L638" s="1349"/>
      <c r="M638" s="1635" t="s">
        <v>1185</v>
      </c>
      <c r="N638" s="1635"/>
      <c r="O638" s="1635"/>
      <c r="P638" s="1635"/>
      <c r="Q638" s="1429"/>
      <c r="R638" s="1430"/>
      <c r="S638" s="1431"/>
      <c r="T638" s="1429"/>
      <c r="U638" s="1430"/>
      <c r="V638" s="1431"/>
      <c r="W638" s="1442"/>
      <c r="X638" s="1443"/>
      <c r="Y638" s="1444"/>
      <c r="Z638" s="1479" t="s">
        <v>1185</v>
      </c>
      <c r="AA638" s="1480"/>
      <c r="AB638" s="1481"/>
      <c r="AC638" s="1461"/>
      <c r="AD638" s="1462"/>
      <c r="AE638" s="1463"/>
      <c r="AF638" s="1476"/>
      <c r="AG638" s="1477"/>
      <c r="AH638" s="1477"/>
      <c r="AI638" s="1477"/>
      <c r="AJ638" s="1478"/>
      <c r="AK638" s="1432"/>
      <c r="AL638" s="1433"/>
      <c r="AM638" s="1433"/>
      <c r="AN638" s="1434"/>
      <c r="AO638" s="1497"/>
      <c r="AP638" s="1498"/>
      <c r="AQ638" s="1498"/>
      <c r="AR638" s="1498"/>
      <c r="AS638" s="1499"/>
      <c r="AT638" s="1147"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60" t="e">
        <f t="shared" si="2"/>
        <v>#VALUE!</v>
      </c>
      <c r="DY638" s="1460"/>
      <c r="DZ638" s="1460"/>
      <c r="EA638" s="1460"/>
      <c r="EB638" s="1460"/>
      <c r="EC638" s="1460">
        <f t="shared" si="3"/>
        <v>775.79310344827593</v>
      </c>
      <c r="ED638" s="1460"/>
      <c r="EE638" s="1460"/>
      <c r="EF638" s="1460"/>
      <c r="EG638" s="1460"/>
      <c r="EH638" s="1460" t="e">
        <f t="shared" si="4"/>
        <v>#VALUE!</v>
      </c>
      <c r="EI638" s="1460"/>
      <c r="EJ638" s="1460"/>
      <c r="EK638" s="1460"/>
      <c r="EL638" s="1460"/>
      <c r="EM638" s="1460" t="e">
        <f t="shared" si="5"/>
        <v>#VALUE!</v>
      </c>
      <c r="EN638" s="1460"/>
      <c r="EO638" s="1460"/>
      <c r="EP638" s="1460"/>
      <c r="EQ638" s="1460"/>
      <c r="ER638" s="1460" t="e">
        <f t="shared" si="6"/>
        <v>#VALUE!</v>
      </c>
      <c r="ES638" s="1460"/>
      <c r="ET638" s="1460"/>
      <c r="EU638" s="1460"/>
      <c r="EV638" s="1460"/>
      <c r="EW638" s="1460" t="e">
        <f t="shared" si="7"/>
        <v>#VALUE!</v>
      </c>
      <c r="EX638" s="1460"/>
      <c r="EY638" s="1460"/>
      <c r="EZ638" s="1460"/>
      <c r="FA638" s="1460"/>
    </row>
    <row r="639" spans="2:157" ht="12.95" customHeight="1">
      <c r="B639" s="1464" t="s">
        <v>128</v>
      </c>
      <c r="C639" s="1465"/>
      <c r="D639" s="1465"/>
      <c r="E639" s="1465"/>
      <c r="F639" s="1465"/>
      <c r="G639" s="1465"/>
      <c r="H639" s="1465"/>
      <c r="I639" s="1465"/>
      <c r="J639" s="1465"/>
      <c r="K639" s="1465"/>
      <c r="L639" s="1465"/>
      <c r="M639" s="1465"/>
      <c r="N639" s="1465"/>
      <c r="O639" s="1465"/>
      <c r="P639" s="1465"/>
      <c r="Q639" s="1465"/>
      <c r="R639" s="1465"/>
      <c r="S639" s="1465"/>
      <c r="T639" s="1465"/>
      <c r="U639" s="1465"/>
      <c r="V639" s="1465"/>
      <c r="W639" s="1465"/>
      <c r="X639" s="1465"/>
      <c r="Y639" s="1465"/>
      <c r="Z639" s="1465"/>
      <c r="AA639" s="1465"/>
      <c r="AB639" s="1465"/>
      <c r="AC639" s="1465"/>
      <c r="AD639" s="1465"/>
      <c r="AE639" s="1465"/>
      <c r="AF639" s="1465"/>
      <c r="AG639" s="1465"/>
      <c r="AH639" s="1465"/>
      <c r="AI639" s="1465"/>
      <c r="AJ639" s="1465"/>
      <c r="AK639" s="1465"/>
      <c r="AL639" s="1465"/>
      <c r="AM639" s="1465"/>
      <c r="AN639" s="1466"/>
      <c r="AO639" s="1632">
        <f>SUM(AO627:AR638)</f>
        <v>49950342</v>
      </c>
      <c r="AP639" s="1633"/>
      <c r="AQ639" s="1633"/>
      <c r="AR639" s="1633"/>
      <c r="AS639" s="163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60" t="e">
        <f t="shared" si="2"/>
        <v>#VALUE!</v>
      </c>
      <c r="DY639" s="1460"/>
      <c r="DZ639" s="1460"/>
      <c r="EA639" s="1460"/>
      <c r="EB639" s="1460"/>
      <c r="EC639" s="1460" t="e">
        <f t="shared" si="3"/>
        <v>#VALUE!</v>
      </c>
      <c r="ED639" s="1460"/>
      <c r="EE639" s="1460"/>
      <c r="EF639" s="1460"/>
      <c r="EG639" s="1460"/>
      <c r="EH639" s="1460" t="e">
        <f t="shared" si="4"/>
        <v>#VALUE!</v>
      </c>
      <c r="EI639" s="1460"/>
      <c r="EJ639" s="1460"/>
      <c r="EK639" s="1460"/>
      <c r="EL639" s="1460"/>
      <c r="EM639" s="1460" t="e">
        <f t="shared" si="5"/>
        <v>#VALUE!</v>
      </c>
      <c r="EN639" s="1460"/>
      <c r="EO639" s="1460"/>
      <c r="EP639" s="1460"/>
      <c r="EQ639" s="1460"/>
      <c r="ER639" s="1460" t="e">
        <f t="shared" si="6"/>
        <v>#VALUE!</v>
      </c>
      <c r="ES639" s="1460"/>
      <c r="ET639" s="1460"/>
      <c r="EU639" s="1460"/>
      <c r="EV639" s="1460"/>
      <c r="EW639" s="1460" t="e">
        <f t="shared" si="7"/>
        <v>#VALUE!</v>
      </c>
      <c r="EX639" s="1460"/>
      <c r="EY639" s="1460"/>
      <c r="EZ639" s="1460"/>
      <c r="FA639" s="1460"/>
    </row>
    <row r="640" spans="2:157" ht="12.95" customHeight="1">
      <c r="B640" s="1464" t="s">
        <v>267</v>
      </c>
      <c r="C640" s="1465"/>
      <c r="D640" s="1465"/>
      <c r="E640" s="1465"/>
      <c r="F640" s="1465"/>
      <c r="G640" s="1465"/>
      <c r="H640" s="1465"/>
      <c r="I640" s="1465"/>
      <c r="J640" s="1465"/>
      <c r="K640" s="1465"/>
      <c r="L640" s="1465"/>
      <c r="M640" s="1465"/>
      <c r="N640" s="1465"/>
      <c r="O640" s="1465"/>
      <c r="P640" s="1465"/>
      <c r="Q640" s="1465"/>
      <c r="R640" s="1465"/>
      <c r="S640" s="1465"/>
      <c r="T640" s="1465"/>
      <c r="U640" s="1465"/>
      <c r="V640" s="1465"/>
      <c r="W640" s="1465"/>
      <c r="X640" s="1465"/>
      <c r="Y640" s="1465"/>
      <c r="Z640" s="1465"/>
      <c r="AA640" s="1465"/>
      <c r="AB640" s="1465"/>
      <c r="AC640" s="1465"/>
      <c r="AD640" s="1465"/>
      <c r="AE640" s="1465"/>
      <c r="AF640" s="1465"/>
      <c r="AG640" s="1465"/>
      <c r="AH640" s="1465"/>
      <c r="AI640" s="1465"/>
      <c r="AJ640" s="1465"/>
      <c r="AK640" s="1465"/>
      <c r="AL640" s="1465"/>
      <c r="AM640" s="1465"/>
      <c r="AN640" s="1466"/>
      <c r="AO640" s="1497">
        <f>35973743-191250</f>
        <v>35782493</v>
      </c>
      <c r="AP640" s="1498"/>
      <c r="AQ640" s="1498"/>
      <c r="AR640" s="1498"/>
      <c r="AS640" s="149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60" t="e">
        <f t="shared" si="2"/>
        <v>#VALUE!</v>
      </c>
      <c r="DY640" s="1460"/>
      <c r="DZ640" s="1460"/>
      <c r="EA640" s="1460"/>
      <c r="EB640" s="1460"/>
      <c r="EC640" s="1460" t="e">
        <f t="shared" si="3"/>
        <v>#VALUE!</v>
      </c>
      <c r="ED640" s="1460"/>
      <c r="EE640" s="1460"/>
      <c r="EF640" s="1460"/>
      <c r="EG640" s="1460"/>
      <c r="EH640" s="1460" t="e">
        <f t="shared" si="4"/>
        <v>#VALUE!</v>
      </c>
      <c r="EI640" s="1460"/>
      <c r="EJ640" s="1460"/>
      <c r="EK640" s="1460"/>
      <c r="EL640" s="1460"/>
      <c r="EM640" s="1460" t="e">
        <f t="shared" si="5"/>
        <v>#VALUE!</v>
      </c>
      <c r="EN640" s="1460"/>
      <c r="EO640" s="1460"/>
      <c r="EP640" s="1460"/>
      <c r="EQ640" s="1460"/>
      <c r="ER640" s="1460" t="e">
        <f t="shared" si="6"/>
        <v>#VALUE!</v>
      </c>
      <c r="ES640" s="1460"/>
      <c r="ET640" s="1460"/>
      <c r="EU640" s="1460"/>
      <c r="EV640" s="1460"/>
      <c r="EW640" s="1460" t="e">
        <f t="shared" si="7"/>
        <v>#VALUE!</v>
      </c>
      <c r="EX640" s="1460"/>
      <c r="EY640" s="1460"/>
      <c r="EZ640" s="1460"/>
      <c r="FA640" s="1460"/>
    </row>
    <row r="641" spans="1:157" ht="12.95" customHeight="1">
      <c r="B641" s="1500" t="s">
        <v>268</v>
      </c>
      <c r="C641" s="1501"/>
      <c r="D641" s="1501"/>
      <c r="E641" s="1501"/>
      <c r="F641" s="1501"/>
      <c r="G641" s="1501"/>
      <c r="H641" s="1501"/>
      <c r="I641" s="1501"/>
      <c r="J641" s="1501"/>
      <c r="K641" s="1501"/>
      <c r="L641" s="1501"/>
      <c r="M641" s="1501"/>
      <c r="N641" s="1501"/>
      <c r="O641" s="1501"/>
      <c r="P641" s="1501"/>
      <c r="Q641" s="1501"/>
      <c r="R641" s="1501"/>
      <c r="S641" s="1501"/>
      <c r="T641" s="1501"/>
      <c r="U641" s="1501"/>
      <c r="V641" s="1501"/>
      <c r="W641" s="1501"/>
      <c r="X641" s="1501"/>
      <c r="Y641" s="1501"/>
      <c r="Z641" s="1501"/>
      <c r="AA641" s="1501"/>
      <c r="AB641" s="1501"/>
      <c r="AC641" s="1501"/>
      <c r="AD641" s="1501"/>
      <c r="AE641" s="1501"/>
      <c r="AF641" s="1501"/>
      <c r="AG641" s="1501"/>
      <c r="AH641" s="1501"/>
      <c r="AI641" s="1501"/>
      <c r="AJ641" s="1501"/>
      <c r="AK641" s="1501"/>
      <c r="AL641" s="1501"/>
      <c r="AM641" s="1501"/>
      <c r="AN641" s="1502"/>
      <c r="AO641" s="1632">
        <f>AO639+AO640</f>
        <v>85732835</v>
      </c>
      <c r="AP641" s="1633"/>
      <c r="AQ641" s="1633"/>
      <c r="AR641" s="1633"/>
      <c r="AS641" s="163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60" t="e">
        <f t="shared" si="2"/>
        <v>#VALUE!</v>
      </c>
      <c r="DY641" s="1460"/>
      <c r="DZ641" s="1460"/>
      <c r="EA641" s="1460"/>
      <c r="EB641" s="1460"/>
      <c r="EC641" s="1460" t="e">
        <f t="shared" si="3"/>
        <v>#VALUE!</v>
      </c>
      <c r="ED641" s="1460"/>
      <c r="EE641" s="1460"/>
      <c r="EF641" s="1460"/>
      <c r="EG641" s="1460"/>
      <c r="EH641" s="1460" t="e">
        <f t="shared" si="4"/>
        <v>#VALUE!</v>
      </c>
      <c r="EI641" s="1460"/>
      <c r="EJ641" s="1460"/>
      <c r="EK641" s="1460"/>
      <c r="EL641" s="1460"/>
      <c r="EM641" s="1460" t="e">
        <f t="shared" si="5"/>
        <v>#VALUE!</v>
      </c>
      <c r="EN641" s="1460"/>
      <c r="EO641" s="1460"/>
      <c r="EP641" s="1460"/>
      <c r="EQ641" s="1460"/>
      <c r="ER641" s="1460" t="e">
        <f t="shared" si="6"/>
        <v>#VALUE!</v>
      </c>
      <c r="ES641" s="1460"/>
      <c r="ET641" s="1460"/>
      <c r="EU641" s="1460"/>
      <c r="EV641" s="1460"/>
      <c r="EW641" s="1460" t="e">
        <f t="shared" si="7"/>
        <v>#VALUE!</v>
      </c>
      <c r="EX641" s="1460"/>
      <c r="EY641" s="1460"/>
      <c r="EZ641" s="1460"/>
      <c r="FA641" s="1460"/>
    </row>
    <row r="642" spans="1:157" ht="12.95" customHeight="1">
      <c r="B642" s="511"/>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60" t="e">
        <f t="shared" si="2"/>
        <v>#VALUE!</v>
      </c>
      <c r="DY642" s="1460"/>
      <c r="DZ642" s="1460"/>
      <c r="EA642" s="1460"/>
      <c r="EB642" s="1460"/>
      <c r="EC642" s="1460" t="e">
        <f t="shared" si="3"/>
        <v>#VALUE!</v>
      </c>
      <c r="ED642" s="1460"/>
      <c r="EE642" s="1460"/>
      <c r="EF642" s="1460"/>
      <c r="EG642" s="1460"/>
      <c r="EH642" s="1460" t="e">
        <f t="shared" si="4"/>
        <v>#VALUE!</v>
      </c>
      <c r="EI642" s="1460"/>
      <c r="EJ642" s="1460"/>
      <c r="EK642" s="1460"/>
      <c r="EL642" s="1460"/>
      <c r="EM642" s="1460" t="e">
        <f t="shared" si="5"/>
        <v>#VALUE!</v>
      </c>
      <c r="EN642" s="1460"/>
      <c r="EO642" s="1460"/>
      <c r="EP642" s="1460"/>
      <c r="EQ642" s="1460"/>
      <c r="ER642" s="1460" t="e">
        <f t="shared" si="6"/>
        <v>#VALUE!</v>
      </c>
      <c r="ES642" s="1460"/>
      <c r="ET642" s="1460"/>
      <c r="EU642" s="1460"/>
      <c r="EV642" s="1460"/>
      <c r="EW642" s="1460" t="e">
        <f t="shared" si="7"/>
        <v>#VALUE!</v>
      </c>
      <c r="EX642" s="1460"/>
      <c r="EY642" s="1460"/>
      <c r="EZ642" s="1460"/>
      <c r="FA642" s="1460"/>
    </row>
    <row r="643" spans="1:157" ht="12.95" customHeight="1">
      <c r="A643" s="55" t="s">
        <v>112</v>
      </c>
      <c r="B643" t="s">
        <v>464</v>
      </c>
      <c r="G643" s="1363" t="str">
        <f>C627</f>
        <v>Citibank Community Capital (Permanent Loan)</v>
      </c>
      <c r="H643" s="1363"/>
      <c r="I643" s="1363"/>
      <c r="J643" s="1363"/>
      <c r="K643" s="1363"/>
      <c r="L643" s="1363"/>
      <c r="M643" s="1363"/>
      <c r="N643" s="1363"/>
      <c r="O643" s="1363"/>
      <c r="P643" s="1363"/>
      <c r="Q643" s="1363"/>
      <c r="R643" s="1363"/>
      <c r="S643" s="8"/>
      <c r="T643" s="55" t="s">
        <v>113</v>
      </c>
      <c r="U643" t="s">
        <v>464</v>
      </c>
      <c r="Z643" s="1363" t="str">
        <f>C628</f>
        <v>LACDA - NPLH</v>
      </c>
      <c r="AA643" s="1363"/>
      <c r="AB643" s="1363"/>
      <c r="AC643" s="1363"/>
      <c r="AD643" s="1363"/>
      <c r="AE643" s="1363"/>
      <c r="AF643" s="1363"/>
      <c r="AG643" s="1363"/>
      <c r="AH643" s="1363"/>
      <c r="AI643" s="1363"/>
      <c r="AJ643" s="1363"/>
      <c r="AK643" s="136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60" t="e">
        <f t="shared" si="2"/>
        <v>#VALUE!</v>
      </c>
      <c r="DY643" s="1460"/>
      <c r="DZ643" s="1460"/>
      <c r="EA643" s="1460"/>
      <c r="EB643" s="1460"/>
      <c r="EC643" s="1460" t="e">
        <f t="shared" si="3"/>
        <v>#VALUE!</v>
      </c>
      <c r="ED643" s="1460"/>
      <c r="EE643" s="1460"/>
      <c r="EF643" s="1460"/>
      <c r="EG643" s="1460"/>
      <c r="EH643" s="1460" t="e">
        <f t="shared" si="4"/>
        <v>#VALUE!</v>
      </c>
      <c r="EI643" s="1460"/>
      <c r="EJ643" s="1460"/>
      <c r="EK643" s="1460"/>
      <c r="EL643" s="1460"/>
      <c r="EM643" s="1460" t="e">
        <f t="shared" si="5"/>
        <v>#VALUE!</v>
      </c>
      <c r="EN643" s="1460"/>
      <c r="EO643" s="1460"/>
      <c r="EP643" s="1460"/>
      <c r="EQ643" s="1460"/>
      <c r="ER643" s="1460" t="e">
        <f t="shared" si="6"/>
        <v>#VALUE!</v>
      </c>
      <c r="ES643" s="1460"/>
      <c r="ET643" s="1460"/>
      <c r="EU643" s="1460"/>
      <c r="EV643" s="1460"/>
      <c r="EW643" s="1460" t="e">
        <f t="shared" si="7"/>
        <v>#VALUE!</v>
      </c>
      <c r="EX643" s="1460"/>
      <c r="EY643" s="1460"/>
      <c r="EZ643" s="1460"/>
      <c r="FA643" s="1460"/>
    </row>
    <row r="644" spans="1:157" ht="12.95" customHeight="1">
      <c r="A644" s="22"/>
      <c r="B644" t="s">
        <v>85</v>
      </c>
      <c r="G644" s="1376" t="s">
        <v>2725</v>
      </c>
      <c r="H644" s="1376"/>
      <c r="I644" s="1376"/>
      <c r="J644" s="1376"/>
      <c r="K644" s="1376"/>
      <c r="L644" s="1376"/>
      <c r="M644" s="1376"/>
      <c r="N644" s="1376"/>
      <c r="O644" s="1376"/>
      <c r="P644" s="1376"/>
      <c r="Q644" s="1376"/>
      <c r="R644" s="1376"/>
      <c r="S644" s="8"/>
      <c r="T644" s="22"/>
      <c r="U644" t="s">
        <v>85</v>
      </c>
      <c r="Z644" s="1838" t="s">
        <v>2685</v>
      </c>
      <c r="AA644" s="1838"/>
      <c r="AB644" s="1838"/>
      <c r="AC644" s="1838"/>
      <c r="AD644" s="1838"/>
      <c r="AE644" s="1838"/>
      <c r="AF644" s="1838"/>
      <c r="AG644" s="1838"/>
      <c r="AH644" s="1838"/>
      <c r="AI644" s="1838"/>
      <c r="AJ644" s="1838"/>
      <c r="AK644" s="1838"/>
      <c r="AV644" s="3"/>
      <c r="AW644" s="3"/>
      <c r="AX644" s="3"/>
      <c r="AY644" s="3"/>
      <c r="AZ644" s="3"/>
      <c r="BA644" s="3"/>
      <c r="BB644" s="3"/>
      <c r="BC644" s="3"/>
      <c r="BD644" s="3"/>
      <c r="BE644" s="3"/>
      <c r="BF644" s="3"/>
      <c r="BG644" s="3"/>
      <c r="BH644" s="3"/>
      <c r="BI644" s="3"/>
      <c r="BJ644" s="3"/>
      <c r="BK644" s="3"/>
      <c r="BL644" s="3"/>
      <c r="BM644" s="3"/>
      <c r="DX644" s="1460" t="e">
        <f t="shared" si="2"/>
        <v>#VALUE!</v>
      </c>
      <c r="DY644" s="1460"/>
      <c r="DZ644" s="1460"/>
      <c r="EA644" s="1460"/>
      <c r="EB644" s="1460"/>
      <c r="EC644" s="1460" t="e">
        <f t="shared" si="3"/>
        <v>#VALUE!</v>
      </c>
      <c r="ED644" s="1460"/>
      <c r="EE644" s="1460"/>
      <c r="EF644" s="1460"/>
      <c r="EG644" s="1460"/>
      <c r="EH644" s="1460" t="e">
        <f t="shared" si="4"/>
        <v>#VALUE!</v>
      </c>
      <c r="EI644" s="1460"/>
      <c r="EJ644" s="1460"/>
      <c r="EK644" s="1460"/>
      <c r="EL644" s="1460"/>
      <c r="EM644" s="1460" t="e">
        <f t="shared" si="5"/>
        <v>#VALUE!</v>
      </c>
      <c r="EN644" s="1460"/>
      <c r="EO644" s="1460"/>
      <c r="EP644" s="1460"/>
      <c r="EQ644" s="1460"/>
      <c r="ER644" s="1460" t="e">
        <f t="shared" si="6"/>
        <v>#VALUE!</v>
      </c>
      <c r="ES644" s="1460"/>
      <c r="ET644" s="1460"/>
      <c r="EU644" s="1460"/>
      <c r="EV644" s="1460"/>
      <c r="EW644" s="1460" t="e">
        <f t="shared" si="7"/>
        <v>#VALUE!</v>
      </c>
      <c r="EX644" s="1460"/>
      <c r="EY644" s="1460"/>
      <c r="EZ644" s="1460"/>
      <c r="FA644" s="1460"/>
    </row>
    <row r="645" spans="1:157" ht="12.95" customHeight="1">
      <c r="A645" s="22"/>
      <c r="B645" t="s">
        <v>581</v>
      </c>
      <c r="G645" s="1376" t="s">
        <v>495</v>
      </c>
      <c r="H645" s="1376"/>
      <c r="I645" s="1376"/>
      <c r="J645" s="1376"/>
      <c r="K645" s="1376"/>
      <c r="L645" s="1376"/>
      <c r="M645" s="1376"/>
      <c r="N645" s="1376"/>
      <c r="O645" s="1376"/>
      <c r="P645" s="1376"/>
      <c r="Q645" s="1376"/>
      <c r="R645" s="1376"/>
      <c r="T645" s="22"/>
      <c r="U645" t="s">
        <v>581</v>
      </c>
      <c r="Z645" s="1353" t="s">
        <v>2618</v>
      </c>
      <c r="AA645" s="1353"/>
      <c r="AB645" s="1353"/>
      <c r="AC645" s="1353"/>
      <c r="AD645" s="1353"/>
      <c r="AE645" s="1353"/>
      <c r="AF645" s="1353"/>
      <c r="AG645" s="1353"/>
      <c r="AH645" s="1353"/>
      <c r="AI645" s="1353"/>
      <c r="AJ645" s="1353"/>
      <c r="AK645" s="1353"/>
      <c r="AV645" s="3"/>
      <c r="AW645" s="3"/>
      <c r="AX645" s="3"/>
      <c r="AY645" s="3"/>
      <c r="AZ645" s="3"/>
      <c r="BA645" s="3"/>
      <c r="BB645" s="3"/>
      <c r="BC645" s="3"/>
      <c r="BD645" s="3"/>
      <c r="BE645" s="3"/>
      <c r="BF645" s="3"/>
      <c r="BG645" s="3"/>
      <c r="BH645" s="3"/>
      <c r="BI645" s="3"/>
      <c r="BJ645" s="3"/>
      <c r="BK645" s="3"/>
      <c r="BL645" s="3"/>
      <c r="BM645" s="3"/>
      <c r="DX645" s="1460" t="e">
        <f t="shared" si="2"/>
        <v>#VALUE!</v>
      </c>
      <c r="DY645" s="1460"/>
      <c r="DZ645" s="1460"/>
      <c r="EA645" s="1460"/>
      <c r="EB645" s="1460"/>
      <c r="EC645" s="1460" t="e">
        <f t="shared" si="3"/>
        <v>#VALUE!</v>
      </c>
      <c r="ED645" s="1460"/>
      <c r="EE645" s="1460"/>
      <c r="EF645" s="1460"/>
      <c r="EG645" s="1460"/>
      <c r="EH645" s="1460" t="e">
        <f t="shared" si="4"/>
        <v>#VALUE!</v>
      </c>
      <c r="EI645" s="1460"/>
      <c r="EJ645" s="1460"/>
      <c r="EK645" s="1460"/>
      <c r="EL645" s="1460"/>
      <c r="EM645" s="1460" t="e">
        <f t="shared" si="5"/>
        <v>#VALUE!</v>
      </c>
      <c r="EN645" s="1460"/>
      <c r="EO645" s="1460"/>
      <c r="EP645" s="1460"/>
      <c r="EQ645" s="1460"/>
      <c r="ER645" s="1460" t="e">
        <f t="shared" si="6"/>
        <v>#VALUE!</v>
      </c>
      <c r="ES645" s="1460"/>
      <c r="ET645" s="1460"/>
      <c r="EU645" s="1460"/>
      <c r="EV645" s="1460"/>
      <c r="EW645" s="1460" t="e">
        <f t="shared" si="7"/>
        <v>#VALUE!</v>
      </c>
      <c r="EX645" s="1460"/>
      <c r="EY645" s="1460"/>
      <c r="EZ645" s="1460"/>
      <c r="FA645" s="1460"/>
    </row>
    <row r="646" spans="1:157" ht="12.95" customHeight="1">
      <c r="A646" s="22"/>
      <c r="B646" t="s">
        <v>17</v>
      </c>
      <c r="G646" s="1376" t="s">
        <v>2726</v>
      </c>
      <c r="H646" s="1376"/>
      <c r="I646" s="1376"/>
      <c r="J646" s="1376"/>
      <c r="K646" s="1376"/>
      <c r="L646" s="1376"/>
      <c r="M646" s="1376"/>
      <c r="N646" s="1376"/>
      <c r="O646" s="1376"/>
      <c r="P646" s="1376"/>
      <c r="Q646" s="1376"/>
      <c r="R646" s="1376"/>
      <c r="S646" s="8"/>
      <c r="T646" s="22"/>
      <c r="U646" t="s">
        <v>17</v>
      </c>
      <c r="Z646" s="1353" t="s">
        <v>2616</v>
      </c>
      <c r="AA646" s="1353"/>
      <c r="AB646" s="1353"/>
      <c r="AC646" s="1353"/>
      <c r="AD646" s="1353"/>
      <c r="AE646" s="1353"/>
      <c r="AF646" s="1353"/>
      <c r="AG646" s="1353"/>
      <c r="AH646" s="1353"/>
      <c r="AI646" s="1353"/>
      <c r="AJ646" s="1353"/>
      <c r="AK646" s="1353"/>
      <c r="AZ646" s="3"/>
      <c r="BA646" s="3"/>
      <c r="BB646" s="3"/>
      <c r="BC646" s="3"/>
      <c r="BD646" s="3"/>
      <c r="BE646" s="3"/>
      <c r="BF646" s="3"/>
      <c r="BG646" s="3"/>
      <c r="BH646" s="3"/>
      <c r="BI646" s="3"/>
      <c r="BJ646" s="3"/>
      <c r="BK646" s="3"/>
      <c r="BL646" s="3"/>
      <c r="BM646" s="3"/>
      <c r="DX646" s="1460" t="e">
        <f t="shared" si="2"/>
        <v>#VALUE!</v>
      </c>
      <c r="DY646" s="1460"/>
      <c r="DZ646" s="1460"/>
      <c r="EA646" s="1460"/>
      <c r="EB646" s="1460"/>
      <c r="EC646" s="1460" t="e">
        <f t="shared" si="3"/>
        <v>#VALUE!</v>
      </c>
      <c r="ED646" s="1460"/>
      <c r="EE646" s="1460"/>
      <c r="EF646" s="1460"/>
      <c r="EG646" s="1460"/>
      <c r="EH646" s="1460" t="e">
        <f t="shared" si="4"/>
        <v>#VALUE!</v>
      </c>
      <c r="EI646" s="1460"/>
      <c r="EJ646" s="1460"/>
      <c r="EK646" s="1460"/>
      <c r="EL646" s="1460"/>
      <c r="EM646" s="1460" t="e">
        <f t="shared" si="5"/>
        <v>#VALUE!</v>
      </c>
      <c r="EN646" s="1460"/>
      <c r="EO646" s="1460"/>
      <c r="EP646" s="1460"/>
      <c r="EQ646" s="1460"/>
      <c r="ER646" s="1460" t="e">
        <f t="shared" si="6"/>
        <v>#VALUE!</v>
      </c>
      <c r="ES646" s="1460"/>
      <c r="ET646" s="1460"/>
      <c r="EU646" s="1460"/>
      <c r="EV646" s="1460"/>
      <c r="EW646" s="1460" t="e">
        <f t="shared" si="7"/>
        <v>#VALUE!</v>
      </c>
      <c r="EX646" s="1460"/>
      <c r="EY646" s="1460"/>
      <c r="EZ646" s="1460"/>
      <c r="FA646" s="1460"/>
    </row>
    <row r="647" spans="1:157" ht="12.95" customHeight="1">
      <c r="A647" s="22"/>
      <c r="B647" t="s">
        <v>316</v>
      </c>
      <c r="G647" s="1347" t="s">
        <v>2727</v>
      </c>
      <c r="H647" s="1348"/>
      <c r="I647" s="1348"/>
      <c r="J647" s="1348"/>
      <c r="K647" s="1348"/>
      <c r="L647" s="1348"/>
      <c r="O647" s="33" t="s">
        <v>206</v>
      </c>
      <c r="P647" s="1441"/>
      <c r="Q647" s="1441"/>
      <c r="R647" s="1441"/>
      <c r="S647" s="10"/>
      <c r="T647" s="22"/>
      <c r="U647" t="s">
        <v>316</v>
      </c>
      <c r="Z647" s="1347" t="s">
        <v>2619</v>
      </c>
      <c r="AA647" s="1347"/>
      <c r="AB647" s="1347"/>
      <c r="AC647" s="1347"/>
      <c r="AD647" s="1347"/>
      <c r="AE647" s="1347"/>
      <c r="AH647" s="33" t="s">
        <v>206</v>
      </c>
      <c r="AI647" s="1441"/>
      <c r="AJ647" s="1441"/>
      <c r="AK647" s="1441"/>
      <c r="AZ647" s="34"/>
      <c r="BA647" s="34"/>
      <c r="BB647" s="34"/>
      <c r="BC647" s="34"/>
      <c r="BD647" s="34"/>
      <c r="BE647" s="34"/>
      <c r="BF647" s="34"/>
      <c r="BG647" s="34"/>
      <c r="BH647" s="34"/>
      <c r="BI647" s="34"/>
      <c r="BJ647" s="34"/>
      <c r="BK647" s="34"/>
      <c r="BL647" s="34"/>
      <c r="BM647" s="34"/>
      <c r="DX647" s="1460" t="e">
        <f t="shared" si="2"/>
        <v>#VALUE!</v>
      </c>
      <c r="DY647" s="1460"/>
      <c r="DZ647" s="1460"/>
      <c r="EA647" s="1460"/>
      <c r="EB647" s="1460"/>
      <c r="EC647" s="1460" t="e">
        <f t="shared" si="3"/>
        <v>#VALUE!</v>
      </c>
      <c r="ED647" s="1460"/>
      <c r="EE647" s="1460"/>
      <c r="EF647" s="1460"/>
      <c r="EG647" s="1460"/>
      <c r="EH647" s="1460" t="e">
        <f t="shared" si="4"/>
        <v>#VALUE!</v>
      </c>
      <c r="EI647" s="1460"/>
      <c r="EJ647" s="1460"/>
      <c r="EK647" s="1460"/>
      <c r="EL647" s="1460"/>
      <c r="EM647" s="1460" t="e">
        <f t="shared" si="5"/>
        <v>#VALUE!</v>
      </c>
      <c r="EN647" s="1460"/>
      <c r="EO647" s="1460"/>
      <c r="EP647" s="1460"/>
      <c r="EQ647" s="1460"/>
      <c r="ER647" s="1460" t="e">
        <f t="shared" si="6"/>
        <v>#VALUE!</v>
      </c>
      <c r="ES647" s="1460"/>
      <c r="ET647" s="1460"/>
      <c r="EU647" s="1460"/>
      <c r="EV647" s="1460"/>
      <c r="EW647" s="1460" t="e">
        <f t="shared" si="7"/>
        <v>#VALUE!</v>
      </c>
      <c r="EX647" s="1460"/>
      <c r="EY647" s="1460"/>
      <c r="EZ647" s="1460"/>
      <c r="FA647" s="1460"/>
    </row>
    <row r="648" spans="1:157" ht="12.95" customHeight="1">
      <c r="A648" s="22"/>
      <c r="B648" t="s">
        <v>18</v>
      </c>
      <c r="H648" s="1376" t="s">
        <v>2728</v>
      </c>
      <c r="I648" s="1376"/>
      <c r="J648" s="1376"/>
      <c r="K648" s="1376"/>
      <c r="L648" s="1376"/>
      <c r="M648" s="1376"/>
      <c r="N648" s="1376"/>
      <c r="O648" s="1376"/>
      <c r="P648" s="1376"/>
      <c r="Q648" s="1376"/>
      <c r="R648" s="1376"/>
      <c r="S648" s="8"/>
      <c r="T648" s="22"/>
      <c r="U648" t="s">
        <v>18</v>
      </c>
      <c r="AA648" s="1376" t="s">
        <v>2710</v>
      </c>
      <c r="AB648" s="1376"/>
      <c r="AC648" s="1376"/>
      <c r="AD648" s="1376"/>
      <c r="AE648" s="1376"/>
      <c r="AF648" s="1376"/>
      <c r="AG648" s="1376"/>
      <c r="AH648" s="1376"/>
      <c r="AI648" s="1376"/>
      <c r="AJ648" s="1376"/>
      <c r="AK648" s="1376"/>
      <c r="AZ648" s="34"/>
      <c r="BA648" s="34"/>
      <c r="BB648" s="34"/>
      <c r="BC648" s="34"/>
      <c r="BD648" s="34"/>
      <c r="BE648" s="34"/>
      <c r="BF648" s="34"/>
      <c r="BG648" s="34"/>
      <c r="BH648" s="34"/>
      <c r="BI648" s="34"/>
      <c r="BJ648" s="34"/>
      <c r="BK648" s="34"/>
      <c r="BL648" s="34"/>
      <c r="BM648" s="34"/>
      <c r="DX648" s="1460" t="e">
        <f t="shared" si="2"/>
        <v>#VALUE!</v>
      </c>
      <c r="DY648" s="1460"/>
      <c r="DZ648" s="1460"/>
      <c r="EA648" s="1460"/>
      <c r="EB648" s="1460"/>
      <c r="EC648" s="1460" t="e">
        <f t="shared" si="3"/>
        <v>#VALUE!</v>
      </c>
      <c r="ED648" s="1460"/>
      <c r="EE648" s="1460"/>
      <c r="EF648" s="1460"/>
      <c r="EG648" s="1460"/>
      <c r="EH648" s="1460" t="e">
        <f t="shared" si="4"/>
        <v>#VALUE!</v>
      </c>
      <c r="EI648" s="1460"/>
      <c r="EJ648" s="1460"/>
      <c r="EK648" s="1460"/>
      <c r="EL648" s="1460"/>
      <c r="EM648" s="1460" t="e">
        <f t="shared" si="5"/>
        <v>#VALUE!</v>
      </c>
      <c r="EN648" s="1460"/>
      <c r="EO648" s="1460"/>
      <c r="EP648" s="1460"/>
      <c r="EQ648" s="1460"/>
      <c r="ER648" s="1460" t="e">
        <f t="shared" si="6"/>
        <v>#VALUE!</v>
      </c>
      <c r="ES648" s="1460"/>
      <c r="ET648" s="1460"/>
      <c r="EU648" s="1460"/>
      <c r="EV648" s="1460"/>
      <c r="EW648" s="1460" t="e">
        <f t="shared" si="7"/>
        <v>#VALUE!</v>
      </c>
      <c r="EX648" s="1460"/>
      <c r="EY648" s="1460"/>
      <c r="EZ648" s="1460"/>
      <c r="FA648" s="1460"/>
    </row>
    <row r="649" spans="1:157" ht="12.95" customHeight="1">
      <c r="A649" s="22"/>
      <c r="B649" t="s">
        <v>20</v>
      </c>
      <c r="N649" s="1336" t="s">
        <v>546</v>
      </c>
      <c r="O649" s="1336"/>
      <c r="T649" s="22"/>
      <c r="U649" t="s">
        <v>20</v>
      </c>
      <c r="AG649" s="1336" t="s">
        <v>546</v>
      </c>
      <c r="AH649" s="1336"/>
      <c r="AZ649" s="34"/>
      <c r="BA649" s="34"/>
      <c r="BB649" s="34"/>
      <c r="BC649" s="34"/>
      <c r="BD649" s="34"/>
      <c r="BE649" s="34"/>
      <c r="BF649" s="34"/>
      <c r="BG649" s="34"/>
      <c r="BH649" s="34"/>
      <c r="BI649" s="34"/>
      <c r="BJ649" s="34"/>
      <c r="BK649" s="34"/>
      <c r="BL649" s="34"/>
      <c r="BM649" s="34"/>
      <c r="DX649" s="1460" t="e">
        <f t="shared" si="2"/>
        <v>#VALUE!</v>
      </c>
      <c r="DY649" s="1460"/>
      <c r="DZ649" s="1460"/>
      <c r="EA649" s="1460"/>
      <c r="EB649" s="1460"/>
      <c r="EC649" s="1460" t="e">
        <f t="shared" si="3"/>
        <v>#VALUE!</v>
      </c>
      <c r="ED649" s="1460"/>
      <c r="EE649" s="1460"/>
      <c r="EF649" s="1460"/>
      <c r="EG649" s="1460"/>
      <c r="EH649" s="1460" t="e">
        <f t="shared" si="4"/>
        <v>#VALUE!</v>
      </c>
      <c r="EI649" s="1460"/>
      <c r="EJ649" s="1460"/>
      <c r="EK649" s="1460"/>
      <c r="EL649" s="1460"/>
      <c r="EM649" s="1460" t="e">
        <f t="shared" si="5"/>
        <v>#VALUE!</v>
      </c>
      <c r="EN649" s="1460"/>
      <c r="EO649" s="1460"/>
      <c r="EP649" s="1460"/>
      <c r="EQ649" s="1460"/>
      <c r="ER649" s="1460" t="e">
        <f t="shared" si="6"/>
        <v>#VALUE!</v>
      </c>
      <c r="ES649" s="1460"/>
      <c r="ET649" s="1460"/>
      <c r="EU649" s="1460"/>
      <c r="EV649" s="1460"/>
      <c r="EW649" s="1460" t="e">
        <f t="shared" si="7"/>
        <v>#VALUE!</v>
      </c>
      <c r="EX649" s="1460"/>
      <c r="EY649" s="1460"/>
      <c r="EZ649" s="1460"/>
      <c r="FA649" s="1460"/>
    </row>
    <row r="650" spans="1:157" ht="12.95" customHeight="1">
      <c r="A650" s="22"/>
      <c r="T650" s="22"/>
      <c r="AZ650" s="34"/>
      <c r="BA650" s="34"/>
      <c r="BB650" s="34"/>
      <c r="BC650" s="34"/>
      <c r="BD650" s="34"/>
      <c r="BE650" s="34"/>
      <c r="BF650" s="34"/>
      <c r="BG650" s="34"/>
      <c r="BH650" s="34"/>
      <c r="BI650" s="34"/>
      <c r="BJ650" s="34"/>
      <c r="BK650" s="34"/>
      <c r="BL650" s="34"/>
      <c r="BM650" s="34"/>
      <c r="DX650" s="1460" t="e">
        <f t="shared" si="2"/>
        <v>#VALUE!</v>
      </c>
      <c r="DY650" s="1460"/>
      <c r="DZ650" s="1460"/>
      <c r="EA650" s="1460"/>
      <c r="EB650" s="1460"/>
      <c r="EC650" s="1460" t="e">
        <f t="shared" si="3"/>
        <v>#VALUE!</v>
      </c>
      <c r="ED650" s="1460"/>
      <c r="EE650" s="1460"/>
      <c r="EF650" s="1460"/>
      <c r="EG650" s="1460"/>
      <c r="EH650" s="1460" t="e">
        <f t="shared" si="4"/>
        <v>#VALUE!</v>
      </c>
      <c r="EI650" s="1460"/>
      <c r="EJ650" s="1460"/>
      <c r="EK650" s="1460"/>
      <c r="EL650" s="1460"/>
      <c r="EM650" s="1460" t="e">
        <f t="shared" si="5"/>
        <v>#VALUE!</v>
      </c>
      <c r="EN650" s="1460"/>
      <c r="EO650" s="1460"/>
      <c r="EP650" s="1460"/>
      <c r="EQ650" s="1460"/>
      <c r="ER650" s="1460" t="e">
        <f t="shared" si="6"/>
        <v>#VALUE!</v>
      </c>
      <c r="ES650" s="1460"/>
      <c r="ET650" s="1460"/>
      <c r="EU650" s="1460"/>
      <c r="EV650" s="1460"/>
      <c r="EW650" s="1460" t="e">
        <f t="shared" si="7"/>
        <v>#VALUE!</v>
      </c>
      <c r="EX650" s="1460"/>
      <c r="EY650" s="1460"/>
      <c r="EZ650" s="1460"/>
      <c r="FA650" s="1460"/>
    </row>
    <row r="651" spans="1:157" ht="12.95" customHeight="1">
      <c r="A651" s="55" t="s">
        <v>119</v>
      </c>
      <c r="B651" t="s">
        <v>464</v>
      </c>
      <c r="G651" s="1363" t="str">
        <f>C629</f>
        <v>LACDA - AHTF (1st &amp; 2nd Tranche)</v>
      </c>
      <c r="H651" s="1363"/>
      <c r="I651" s="1363"/>
      <c r="J651" s="1363"/>
      <c r="K651" s="1363"/>
      <c r="L651" s="1363"/>
      <c r="M651" s="1363"/>
      <c r="N651" s="1363"/>
      <c r="O651" s="1363"/>
      <c r="P651" s="1363"/>
      <c r="Q651" s="1363"/>
      <c r="R651" s="1363"/>
      <c r="T651" s="55" t="s">
        <v>582</v>
      </c>
      <c r="U651" t="s">
        <v>464</v>
      </c>
      <c r="Z651" s="1363" t="str">
        <f>C630</f>
        <v>LACDA - Accrued Interest</v>
      </c>
      <c r="AA651" s="1363"/>
      <c r="AB651" s="1363"/>
      <c r="AC651" s="1363"/>
      <c r="AD651" s="1363"/>
      <c r="AE651" s="1363"/>
      <c r="AF651" s="1363"/>
      <c r="AG651" s="1363"/>
      <c r="AH651" s="1363"/>
      <c r="AI651" s="1363"/>
      <c r="AJ651" s="1363"/>
      <c r="AK651" s="1363"/>
      <c r="AZ651" s="34"/>
      <c r="BA651" s="34"/>
      <c r="BB651" s="34"/>
      <c r="BC651" s="34"/>
      <c r="BD651" s="34"/>
      <c r="BE651" s="34"/>
      <c r="BF651" s="34"/>
      <c r="BG651" s="34"/>
      <c r="BH651" s="34"/>
      <c r="BI651" s="34"/>
      <c r="BJ651" s="34"/>
      <c r="BK651" s="34"/>
      <c r="BL651" s="34"/>
      <c r="BM651" s="34"/>
      <c r="DX651" s="1460" t="e">
        <f t="shared" si="2"/>
        <v>#VALUE!</v>
      </c>
      <c r="DY651" s="1460"/>
      <c r="DZ651" s="1460"/>
      <c r="EA651" s="1460"/>
      <c r="EB651" s="1460"/>
      <c r="EC651" s="1460" t="e">
        <f t="shared" si="3"/>
        <v>#VALUE!</v>
      </c>
      <c r="ED651" s="1460"/>
      <c r="EE651" s="1460"/>
      <c r="EF651" s="1460"/>
      <c r="EG651" s="1460"/>
      <c r="EH651" s="1460" t="e">
        <f t="shared" si="4"/>
        <v>#VALUE!</v>
      </c>
      <c r="EI651" s="1460"/>
      <c r="EJ651" s="1460"/>
      <c r="EK651" s="1460"/>
      <c r="EL651" s="1460"/>
      <c r="EM651" s="1460" t="e">
        <f t="shared" si="5"/>
        <v>#VALUE!</v>
      </c>
      <c r="EN651" s="1460"/>
      <c r="EO651" s="1460"/>
      <c r="EP651" s="1460"/>
      <c r="EQ651" s="1460"/>
      <c r="ER651" s="1460" t="e">
        <f t="shared" si="6"/>
        <v>#VALUE!</v>
      </c>
      <c r="ES651" s="1460"/>
      <c r="ET651" s="1460"/>
      <c r="EU651" s="1460"/>
      <c r="EV651" s="1460"/>
      <c r="EW651" s="1460" t="e">
        <f t="shared" si="7"/>
        <v>#VALUE!</v>
      </c>
      <c r="EX651" s="1460"/>
      <c r="EY651" s="1460"/>
      <c r="EZ651" s="1460"/>
      <c r="FA651" s="1460"/>
    </row>
    <row r="652" spans="1:157" ht="12.95" customHeight="1">
      <c r="A652" s="22"/>
      <c r="B652" t="s">
        <v>85</v>
      </c>
      <c r="G652" s="1838" t="s">
        <v>2685</v>
      </c>
      <c r="H652" s="1838"/>
      <c r="I652" s="1838"/>
      <c r="J652" s="1838"/>
      <c r="K652" s="1838"/>
      <c r="L652" s="1838"/>
      <c r="M652" s="1838"/>
      <c r="N652" s="1838"/>
      <c r="O652" s="1838"/>
      <c r="P652" s="1838"/>
      <c r="Q652" s="1838"/>
      <c r="R652" s="1838"/>
      <c r="T652" s="22"/>
      <c r="U652" t="s">
        <v>85</v>
      </c>
      <c r="Z652" s="1838" t="s">
        <v>2685</v>
      </c>
      <c r="AA652" s="1838"/>
      <c r="AB652" s="1838"/>
      <c r="AC652" s="1838"/>
      <c r="AD652" s="1838"/>
      <c r="AE652" s="1838"/>
      <c r="AF652" s="1838"/>
      <c r="AG652" s="1838"/>
      <c r="AH652" s="1838"/>
      <c r="AI652" s="1838"/>
      <c r="AJ652" s="1838"/>
      <c r="AK652" s="1838"/>
      <c r="AZ652" s="34"/>
      <c r="BA652" s="34"/>
      <c r="BB652" s="34"/>
      <c r="BC652" s="34"/>
      <c r="BD652" s="34"/>
      <c r="BE652" s="34"/>
      <c r="BF652" s="34"/>
      <c r="BG652" s="34"/>
      <c r="BH652" s="34"/>
      <c r="BI652" s="34"/>
      <c r="BJ652" s="34"/>
      <c r="BK652" s="34"/>
      <c r="BL652" s="34"/>
      <c r="BM652" s="34"/>
      <c r="DX652" s="1460" t="e">
        <f t="shared" si="2"/>
        <v>#VALUE!</v>
      </c>
      <c r="DY652" s="1460"/>
      <c r="DZ652" s="1460"/>
      <c r="EA652" s="1460"/>
      <c r="EB652" s="1460"/>
      <c r="EC652" s="1460" t="e">
        <f t="shared" si="3"/>
        <v>#VALUE!</v>
      </c>
      <c r="ED652" s="1460"/>
      <c r="EE652" s="1460"/>
      <c r="EF652" s="1460"/>
      <c r="EG652" s="1460"/>
      <c r="EH652" s="1460" t="e">
        <f t="shared" si="4"/>
        <v>#VALUE!</v>
      </c>
      <c r="EI652" s="1460"/>
      <c r="EJ652" s="1460"/>
      <c r="EK652" s="1460"/>
      <c r="EL652" s="1460"/>
      <c r="EM652" s="1460" t="e">
        <f t="shared" si="5"/>
        <v>#VALUE!</v>
      </c>
      <c r="EN652" s="1460"/>
      <c r="EO652" s="1460"/>
      <c r="EP652" s="1460"/>
      <c r="EQ652" s="1460"/>
      <c r="ER652" s="1460" t="e">
        <f t="shared" si="6"/>
        <v>#VALUE!</v>
      </c>
      <c r="ES652" s="1460"/>
      <c r="ET652" s="1460"/>
      <c r="EU652" s="1460"/>
      <c r="EV652" s="1460"/>
      <c r="EW652" s="1460" t="e">
        <f t="shared" si="7"/>
        <v>#VALUE!</v>
      </c>
      <c r="EX652" s="1460"/>
      <c r="EY652" s="1460"/>
      <c r="EZ652" s="1460"/>
      <c r="FA652" s="1460"/>
    </row>
    <row r="653" spans="1:157" ht="12.95" customHeight="1">
      <c r="A653" s="22"/>
      <c r="B653" t="s">
        <v>581</v>
      </c>
      <c r="G653" s="1353" t="s">
        <v>2618</v>
      </c>
      <c r="H653" s="1353"/>
      <c r="I653" s="1353"/>
      <c r="J653" s="1353"/>
      <c r="K653" s="1353"/>
      <c r="L653" s="1353"/>
      <c r="M653" s="1353"/>
      <c r="N653" s="1353"/>
      <c r="O653" s="1353"/>
      <c r="P653" s="1353"/>
      <c r="Q653" s="1353"/>
      <c r="R653" s="1353"/>
      <c r="T653" s="22"/>
      <c r="U653" t="s">
        <v>581</v>
      </c>
      <c r="Z653" s="1353" t="s">
        <v>2618</v>
      </c>
      <c r="AA653" s="1353"/>
      <c r="AB653" s="1353"/>
      <c r="AC653" s="1353"/>
      <c r="AD653" s="1353"/>
      <c r="AE653" s="1353"/>
      <c r="AF653" s="1353"/>
      <c r="AG653" s="1353"/>
      <c r="AH653" s="1353"/>
      <c r="AI653" s="1353"/>
      <c r="AJ653" s="1353"/>
      <c r="AK653" s="1353"/>
      <c r="AZ653" s="34"/>
      <c r="BA653" s="34"/>
      <c r="BB653" s="34"/>
      <c r="BC653" s="34"/>
      <c r="BD653" s="34"/>
      <c r="BE653" s="34"/>
      <c r="BF653" s="34"/>
      <c r="BG653" s="34"/>
      <c r="BH653" s="34"/>
      <c r="BI653" s="34"/>
      <c r="BJ653" s="34"/>
      <c r="BK653" s="34"/>
      <c r="BL653" s="34"/>
      <c r="BM653" s="34"/>
      <c r="DX653" s="1460" t="e">
        <f t="shared" si="2"/>
        <v>#VALUE!</v>
      </c>
      <c r="DY653" s="1460"/>
      <c r="DZ653" s="1460"/>
      <c r="EA653" s="1460"/>
      <c r="EB653" s="1460"/>
      <c r="EC653" s="1460" t="e">
        <f t="shared" si="3"/>
        <v>#VALUE!</v>
      </c>
      <c r="ED653" s="1460"/>
      <c r="EE653" s="1460"/>
      <c r="EF653" s="1460"/>
      <c r="EG653" s="1460"/>
      <c r="EH653" s="1460" t="e">
        <f t="shared" si="4"/>
        <v>#VALUE!</v>
      </c>
      <c r="EI653" s="1460"/>
      <c r="EJ653" s="1460"/>
      <c r="EK653" s="1460"/>
      <c r="EL653" s="1460"/>
      <c r="EM653" s="1460" t="e">
        <f t="shared" si="5"/>
        <v>#VALUE!</v>
      </c>
      <c r="EN653" s="1460"/>
      <c r="EO653" s="1460"/>
      <c r="EP653" s="1460"/>
      <c r="EQ653" s="1460"/>
      <c r="ER653" s="1460" t="e">
        <f t="shared" si="6"/>
        <v>#VALUE!</v>
      </c>
      <c r="ES653" s="1460"/>
      <c r="ET653" s="1460"/>
      <c r="EU653" s="1460"/>
      <c r="EV653" s="1460"/>
      <c r="EW653" s="1460" t="e">
        <f t="shared" si="7"/>
        <v>#VALUE!</v>
      </c>
      <c r="EX653" s="1460"/>
      <c r="EY653" s="1460"/>
      <c r="EZ653" s="1460"/>
      <c r="FA653" s="1460"/>
    </row>
    <row r="654" spans="1:157" ht="12.95" customHeight="1">
      <c r="A654" s="22"/>
      <c r="B654" t="s">
        <v>17</v>
      </c>
      <c r="G654" s="1353" t="s">
        <v>2616</v>
      </c>
      <c r="H654" s="1353"/>
      <c r="I654" s="1353"/>
      <c r="J654" s="1353"/>
      <c r="K654" s="1353"/>
      <c r="L654" s="1353"/>
      <c r="M654" s="1353"/>
      <c r="N654" s="1353"/>
      <c r="O654" s="1353"/>
      <c r="P654" s="1353"/>
      <c r="Q654" s="1353"/>
      <c r="R654" s="1353"/>
      <c r="T654" s="22"/>
      <c r="U654" t="s">
        <v>17</v>
      </c>
      <c r="Z654" s="1353" t="s">
        <v>2616</v>
      </c>
      <c r="AA654" s="1353"/>
      <c r="AB654" s="1353"/>
      <c r="AC654" s="1353"/>
      <c r="AD654" s="1353"/>
      <c r="AE654" s="1353"/>
      <c r="AF654" s="1353"/>
      <c r="AG654" s="1353"/>
      <c r="AH654" s="1353"/>
      <c r="AI654" s="1353"/>
      <c r="AJ654" s="1353"/>
      <c r="AK654" s="1353"/>
      <c r="AZ654" s="34"/>
      <c r="BA654" s="34"/>
      <c r="BB654" s="34"/>
      <c r="BC654" s="34"/>
      <c r="BD654" s="34"/>
      <c r="BE654" s="34"/>
      <c r="BF654" s="34"/>
      <c r="BG654" s="34"/>
      <c r="BH654" s="34"/>
      <c r="BI654" s="34"/>
      <c r="BJ654" s="34"/>
      <c r="BK654" s="34"/>
      <c r="BL654" s="34"/>
      <c r="BM654" s="34"/>
      <c r="DX654" s="1460" t="e">
        <f t="shared" si="2"/>
        <v>#VALUE!</v>
      </c>
      <c r="DY654" s="1460"/>
      <c r="DZ654" s="1460"/>
      <c r="EA654" s="1460"/>
      <c r="EB654" s="1460"/>
      <c r="EC654" s="1460" t="e">
        <f t="shared" si="3"/>
        <v>#VALUE!</v>
      </c>
      <c r="ED654" s="1460"/>
      <c r="EE654" s="1460"/>
      <c r="EF654" s="1460"/>
      <c r="EG654" s="1460"/>
      <c r="EH654" s="1460" t="e">
        <f t="shared" si="4"/>
        <v>#VALUE!</v>
      </c>
      <c r="EI654" s="1460"/>
      <c r="EJ654" s="1460"/>
      <c r="EK654" s="1460"/>
      <c r="EL654" s="1460"/>
      <c r="EM654" s="1460" t="e">
        <f t="shared" si="5"/>
        <v>#VALUE!</v>
      </c>
      <c r="EN654" s="1460"/>
      <c r="EO654" s="1460"/>
      <c r="EP654" s="1460"/>
      <c r="EQ654" s="1460"/>
      <c r="ER654" s="1460" t="e">
        <f t="shared" si="6"/>
        <v>#VALUE!</v>
      </c>
      <c r="ES654" s="1460"/>
      <c r="ET654" s="1460"/>
      <c r="EU654" s="1460"/>
      <c r="EV654" s="1460"/>
      <c r="EW654" s="1460" t="e">
        <f t="shared" si="7"/>
        <v>#VALUE!</v>
      </c>
      <c r="EX654" s="1460"/>
      <c r="EY654" s="1460"/>
      <c r="EZ654" s="1460"/>
      <c r="FA654" s="1460"/>
    </row>
    <row r="655" spans="1:157" ht="12.95" customHeight="1">
      <c r="A655" s="22"/>
      <c r="B655" t="s">
        <v>316</v>
      </c>
      <c r="G655" s="1347" t="s">
        <v>2619</v>
      </c>
      <c r="H655" s="1347"/>
      <c r="I655" s="1347"/>
      <c r="J655" s="1347"/>
      <c r="K655" s="1347"/>
      <c r="L655" s="1347"/>
      <c r="O655" s="33" t="s">
        <v>206</v>
      </c>
      <c r="P655" s="1441"/>
      <c r="Q655" s="1441"/>
      <c r="R655" s="1441"/>
      <c r="T655" s="22"/>
      <c r="U655" t="s">
        <v>316</v>
      </c>
      <c r="Z655" s="1347" t="s">
        <v>2619</v>
      </c>
      <c r="AA655" s="1347"/>
      <c r="AB655" s="1347"/>
      <c r="AC655" s="1347"/>
      <c r="AD655" s="1347"/>
      <c r="AE655" s="1347"/>
      <c r="AH655" s="33" t="s">
        <v>206</v>
      </c>
      <c r="AI655" s="1441"/>
      <c r="AJ655" s="1441"/>
      <c r="AK655" s="1441"/>
      <c r="AZ655" s="34"/>
      <c r="BA655" s="34"/>
      <c r="BB655" s="34"/>
      <c r="BC655" s="34"/>
      <c r="BD655" s="34"/>
      <c r="BE655" s="34"/>
      <c r="BF655" s="34"/>
      <c r="BG655" s="34"/>
      <c r="BH655" s="34"/>
      <c r="BI655" s="34"/>
      <c r="BJ655" s="34"/>
      <c r="BK655" s="34"/>
      <c r="BL655" s="34"/>
      <c r="BM655" s="34"/>
      <c r="DX655" s="1460" t="e">
        <f t="shared" si="2"/>
        <v>#VALUE!</v>
      </c>
      <c r="DY655" s="1460"/>
      <c r="DZ655" s="1460"/>
      <c r="EA655" s="1460"/>
      <c r="EB655" s="1460"/>
      <c r="EC655" s="1460" t="e">
        <f t="shared" si="3"/>
        <v>#VALUE!</v>
      </c>
      <c r="ED655" s="1460"/>
      <c r="EE655" s="1460"/>
      <c r="EF655" s="1460"/>
      <c r="EG655" s="1460"/>
      <c r="EH655" s="1460" t="e">
        <f t="shared" si="4"/>
        <v>#VALUE!</v>
      </c>
      <c r="EI655" s="1460"/>
      <c r="EJ655" s="1460"/>
      <c r="EK655" s="1460"/>
      <c r="EL655" s="1460"/>
      <c r="EM655" s="1460" t="e">
        <f t="shared" si="5"/>
        <v>#VALUE!</v>
      </c>
      <c r="EN655" s="1460"/>
      <c r="EO655" s="1460"/>
      <c r="EP655" s="1460"/>
      <c r="EQ655" s="1460"/>
      <c r="ER655" s="1460" t="e">
        <f t="shared" si="6"/>
        <v>#VALUE!</v>
      </c>
      <c r="ES655" s="1460"/>
      <c r="ET655" s="1460"/>
      <c r="EU655" s="1460"/>
      <c r="EV655" s="1460"/>
      <c r="EW655" s="1460" t="e">
        <f t="shared" si="7"/>
        <v>#VALUE!</v>
      </c>
      <c r="EX655" s="1460"/>
      <c r="EY655" s="1460"/>
      <c r="EZ655" s="1460"/>
      <c r="FA655" s="1460"/>
    </row>
    <row r="656" spans="1:157" ht="12.95" customHeight="1">
      <c r="A656" s="22"/>
      <c r="B656" t="s">
        <v>18</v>
      </c>
      <c r="H656" s="1376" t="s">
        <v>2710</v>
      </c>
      <c r="I656" s="1376"/>
      <c r="J656" s="1376"/>
      <c r="K656" s="1376"/>
      <c r="L656" s="1376"/>
      <c r="M656" s="1376"/>
      <c r="N656" s="1376"/>
      <c r="O656" s="1376"/>
      <c r="P656" s="1376"/>
      <c r="Q656" s="1376"/>
      <c r="R656" s="1376"/>
      <c r="T656" s="22"/>
      <c r="U656" t="s">
        <v>18</v>
      </c>
      <c r="AA656" s="1376" t="s">
        <v>2106</v>
      </c>
      <c r="AB656" s="1376"/>
      <c r="AC656" s="1376"/>
      <c r="AD656" s="1376"/>
      <c r="AE656" s="1376"/>
      <c r="AF656" s="1376"/>
      <c r="AG656" s="1376"/>
      <c r="AH656" s="1376"/>
      <c r="AI656" s="1376"/>
      <c r="AJ656" s="1376"/>
      <c r="AK656" s="1376"/>
      <c r="AZ656" s="34"/>
      <c r="BA656" s="34"/>
      <c r="BB656" s="34"/>
      <c r="BC656" s="34"/>
      <c r="BD656" s="34"/>
      <c r="BE656" s="34"/>
      <c r="BF656" s="34"/>
      <c r="BG656" s="34"/>
      <c r="BH656" s="34"/>
      <c r="BI656" s="34"/>
      <c r="BJ656" s="34"/>
      <c r="BK656" s="34"/>
      <c r="BL656" s="34"/>
      <c r="BM656" s="34"/>
      <c r="DX656" s="1460" t="e">
        <f t="shared" si="2"/>
        <v>#VALUE!</v>
      </c>
      <c r="DY656" s="1460"/>
      <c r="DZ656" s="1460"/>
      <c r="EA656" s="1460"/>
      <c r="EB656" s="1460"/>
      <c r="EC656" s="1460" t="e">
        <f t="shared" si="3"/>
        <v>#VALUE!</v>
      </c>
      <c r="ED656" s="1460"/>
      <c r="EE656" s="1460"/>
      <c r="EF656" s="1460"/>
      <c r="EG656" s="1460"/>
      <c r="EH656" s="1460" t="e">
        <f t="shared" si="4"/>
        <v>#VALUE!</v>
      </c>
      <c r="EI656" s="1460"/>
      <c r="EJ656" s="1460"/>
      <c r="EK656" s="1460"/>
      <c r="EL656" s="1460"/>
      <c r="EM656" s="1460" t="e">
        <f t="shared" si="5"/>
        <v>#VALUE!</v>
      </c>
      <c r="EN656" s="1460"/>
      <c r="EO656" s="1460"/>
      <c r="EP656" s="1460"/>
      <c r="EQ656" s="1460"/>
      <c r="ER656" s="1460" t="e">
        <f t="shared" si="6"/>
        <v>#VALUE!</v>
      </c>
      <c r="ES656" s="1460"/>
      <c r="ET656" s="1460"/>
      <c r="EU656" s="1460"/>
      <c r="EV656" s="1460"/>
      <c r="EW656" s="1460" t="e">
        <f t="shared" si="7"/>
        <v>#VALUE!</v>
      </c>
      <c r="EX656" s="1460"/>
      <c r="EY656" s="1460"/>
      <c r="EZ656" s="1460"/>
      <c r="FA656" s="1460"/>
    </row>
    <row r="657" spans="1:157" ht="12.95" customHeight="1">
      <c r="A657" s="22"/>
      <c r="B657" t="s">
        <v>20</v>
      </c>
      <c r="N657" s="1336" t="s">
        <v>546</v>
      </c>
      <c r="O657" s="1336"/>
      <c r="T657" s="22"/>
      <c r="U657" t="s">
        <v>20</v>
      </c>
      <c r="AG657" s="1336" t="s">
        <v>546</v>
      </c>
      <c r="AH657" s="1336"/>
      <c r="AZ657" s="34"/>
      <c r="BA657" s="34"/>
      <c r="BB657" s="34"/>
      <c r="BC657" s="34"/>
      <c r="BD657" s="34"/>
      <c r="BE657" s="34"/>
      <c r="BF657" s="34"/>
      <c r="BG657" s="34"/>
      <c r="BH657" s="34"/>
      <c r="BI657" s="34"/>
      <c r="BJ657" s="34"/>
      <c r="BK657" s="34"/>
      <c r="BL657" s="34"/>
      <c r="BM657" s="34"/>
      <c r="DX657" s="1460" t="e">
        <f t="shared" si="2"/>
        <v>#VALUE!</v>
      </c>
      <c r="DY657" s="1460"/>
      <c r="DZ657" s="1460"/>
      <c r="EA657" s="1460"/>
      <c r="EB657" s="1460"/>
      <c r="EC657" s="1460" t="e">
        <f t="shared" si="3"/>
        <v>#VALUE!</v>
      </c>
      <c r="ED657" s="1460"/>
      <c r="EE657" s="1460"/>
      <c r="EF657" s="1460"/>
      <c r="EG657" s="1460"/>
      <c r="EH657" s="1460" t="e">
        <f t="shared" si="4"/>
        <v>#VALUE!</v>
      </c>
      <c r="EI657" s="1460"/>
      <c r="EJ657" s="1460"/>
      <c r="EK657" s="1460"/>
      <c r="EL657" s="1460"/>
      <c r="EM657" s="1460" t="e">
        <f t="shared" si="5"/>
        <v>#VALUE!</v>
      </c>
      <c r="EN657" s="1460"/>
      <c r="EO657" s="1460"/>
      <c r="EP657" s="1460"/>
      <c r="EQ657" s="1460"/>
      <c r="ER657" s="1460" t="e">
        <f t="shared" si="6"/>
        <v>#VALUE!</v>
      </c>
      <c r="ES657" s="1460"/>
      <c r="ET657" s="1460"/>
      <c r="EU657" s="1460"/>
      <c r="EV657" s="1460"/>
      <c r="EW657" s="1460" t="e">
        <f t="shared" si="7"/>
        <v>#VALUE!</v>
      </c>
      <c r="EX657" s="1460"/>
      <c r="EY657" s="1460"/>
      <c r="EZ657" s="1460"/>
      <c r="FA657" s="1460"/>
    </row>
    <row r="658" spans="1:157" ht="12.95" customHeight="1">
      <c r="A658" s="22"/>
      <c r="T658" s="22"/>
      <c r="AZ658" s="34"/>
      <c r="BA658" s="34"/>
      <c r="BB658" s="34"/>
      <c r="BC658" s="34"/>
      <c r="BD658" s="34"/>
      <c r="BE658" s="34"/>
      <c r="BF658" s="34"/>
      <c r="BG658" s="34"/>
      <c r="BH658" s="34"/>
      <c r="BI658" s="34"/>
      <c r="BJ658" s="34"/>
      <c r="BK658" s="34"/>
      <c r="BL658" s="34"/>
      <c r="BM658" s="34"/>
      <c r="DX658" s="1460" t="e">
        <f t="shared" si="2"/>
        <v>#VALUE!</v>
      </c>
      <c r="DY658" s="1460"/>
      <c r="DZ658" s="1460"/>
      <c r="EA658" s="1460"/>
      <c r="EB658" s="1460"/>
      <c r="EC658" s="1460" t="e">
        <f t="shared" si="3"/>
        <v>#VALUE!</v>
      </c>
      <c r="ED658" s="1460"/>
      <c r="EE658" s="1460"/>
      <c r="EF658" s="1460"/>
      <c r="EG658" s="1460"/>
      <c r="EH658" s="1460" t="e">
        <f t="shared" si="4"/>
        <v>#VALUE!</v>
      </c>
      <c r="EI658" s="1460"/>
      <c r="EJ658" s="1460"/>
      <c r="EK658" s="1460"/>
      <c r="EL658" s="1460"/>
      <c r="EM658" s="1460" t="e">
        <f t="shared" si="5"/>
        <v>#VALUE!</v>
      </c>
      <c r="EN658" s="1460"/>
      <c r="EO658" s="1460"/>
      <c r="EP658" s="1460"/>
      <c r="EQ658" s="1460"/>
      <c r="ER658" s="1460" t="e">
        <f t="shared" si="6"/>
        <v>#VALUE!</v>
      </c>
      <c r="ES658" s="1460"/>
      <c r="ET658" s="1460"/>
      <c r="EU658" s="1460"/>
      <c r="EV658" s="1460"/>
      <c r="EW658" s="1460" t="e">
        <f t="shared" si="7"/>
        <v>#VALUE!</v>
      </c>
      <c r="EX658" s="1460"/>
      <c r="EY658" s="1460"/>
      <c r="EZ658" s="1460"/>
      <c r="FA658" s="1460"/>
    </row>
    <row r="659" spans="1:157" ht="12.95" customHeight="1">
      <c r="A659" s="55" t="s">
        <v>764</v>
      </c>
      <c r="B659" t="s">
        <v>464</v>
      </c>
      <c r="G659" s="1363" t="str">
        <f>C631</f>
        <v>CADI: Deferred Developer Fee</v>
      </c>
      <c r="H659" s="1363"/>
      <c r="I659" s="1363"/>
      <c r="J659" s="1363"/>
      <c r="K659" s="1363"/>
      <c r="L659" s="1363"/>
      <c r="M659" s="1363"/>
      <c r="N659" s="1363"/>
      <c r="O659" s="1363"/>
      <c r="P659" s="1363"/>
      <c r="Q659" s="1363"/>
      <c r="R659" s="1363"/>
      <c r="T659" s="55" t="s">
        <v>585</v>
      </c>
      <c r="U659" t="s">
        <v>464</v>
      </c>
      <c r="Z659" s="1363">
        <f>C632</f>
        <v>0</v>
      </c>
      <c r="AA659" s="1363"/>
      <c r="AB659" s="1363"/>
      <c r="AC659" s="1363"/>
      <c r="AD659" s="1363"/>
      <c r="AE659" s="1363"/>
      <c r="AF659" s="1363"/>
      <c r="AG659" s="1363"/>
      <c r="AH659" s="1363"/>
      <c r="AI659" s="1363"/>
      <c r="AJ659" s="1363"/>
      <c r="AK659" s="1363"/>
      <c r="AZ659" s="34"/>
      <c r="BA659" s="34"/>
      <c r="BB659" s="34"/>
      <c r="BC659" s="34"/>
      <c r="BD659" s="34"/>
      <c r="BE659" s="34"/>
      <c r="BF659" s="34"/>
      <c r="BG659" s="34"/>
      <c r="BH659" s="34"/>
      <c r="BI659" s="34"/>
      <c r="BJ659" s="34"/>
      <c r="BK659" s="34"/>
      <c r="BL659" s="34"/>
      <c r="BM659" s="34"/>
      <c r="DX659" s="1460" t="e">
        <f t="shared" si="2"/>
        <v>#VALUE!</v>
      </c>
      <c r="DY659" s="1460"/>
      <c r="DZ659" s="1460"/>
      <c r="EA659" s="1460"/>
      <c r="EB659" s="1460"/>
      <c r="EC659" s="1460" t="e">
        <f t="shared" si="3"/>
        <v>#VALUE!</v>
      </c>
      <c r="ED659" s="1460"/>
      <c r="EE659" s="1460"/>
      <c r="EF659" s="1460"/>
      <c r="EG659" s="1460"/>
      <c r="EH659" s="1460" t="e">
        <f t="shared" si="4"/>
        <v>#VALUE!</v>
      </c>
      <c r="EI659" s="1460"/>
      <c r="EJ659" s="1460"/>
      <c r="EK659" s="1460"/>
      <c r="EL659" s="1460"/>
      <c r="EM659" s="1460" t="e">
        <f t="shared" si="5"/>
        <v>#VALUE!</v>
      </c>
      <c r="EN659" s="1460"/>
      <c r="EO659" s="1460"/>
      <c r="EP659" s="1460"/>
      <c r="EQ659" s="1460"/>
      <c r="ER659" s="1460" t="e">
        <f t="shared" si="6"/>
        <v>#VALUE!</v>
      </c>
      <c r="ES659" s="1460"/>
      <c r="ET659" s="1460"/>
      <c r="EU659" s="1460"/>
      <c r="EV659" s="1460"/>
      <c r="EW659" s="1460" t="e">
        <f t="shared" si="7"/>
        <v>#VALUE!</v>
      </c>
      <c r="EX659" s="1460"/>
      <c r="EY659" s="1460"/>
      <c r="EZ659" s="1460"/>
      <c r="FA659" s="1460"/>
    </row>
    <row r="660" spans="1:157" ht="12.95" customHeight="1">
      <c r="A660" s="22"/>
      <c r="B660" t="s">
        <v>85</v>
      </c>
      <c r="G660" s="1838" t="s">
        <v>2624</v>
      </c>
      <c r="H660" s="1838"/>
      <c r="I660" s="1838"/>
      <c r="J660" s="1838"/>
      <c r="K660" s="1838"/>
      <c r="L660" s="1838"/>
      <c r="M660" s="1838"/>
      <c r="N660" s="1838"/>
      <c r="O660" s="1838"/>
      <c r="P660" s="1838"/>
      <c r="Q660" s="1838"/>
      <c r="R660" s="1838"/>
      <c r="T660" s="22"/>
      <c r="U660" t="s">
        <v>85</v>
      </c>
      <c r="Z660" s="1262"/>
      <c r="AA660" s="1262"/>
      <c r="AB660" s="1262"/>
      <c r="AC660" s="1262"/>
      <c r="AD660" s="1262"/>
      <c r="AE660" s="1262"/>
      <c r="AF660" s="1262"/>
      <c r="AG660" s="1262"/>
      <c r="AH660" s="1262"/>
      <c r="AI660" s="1262"/>
      <c r="AJ660" s="1262"/>
      <c r="AK660" s="1262"/>
      <c r="AZ660" s="34"/>
      <c r="BA660" s="34"/>
      <c r="BB660" s="34"/>
      <c r="BC660" s="34"/>
      <c r="BD660" s="34"/>
      <c r="BE660" s="34"/>
      <c r="BF660" s="34"/>
      <c r="BG660" s="34"/>
      <c r="BH660" s="34"/>
      <c r="BI660" s="34"/>
      <c r="BJ660" s="34"/>
      <c r="BK660" s="34"/>
      <c r="BL660" s="34"/>
      <c r="BM660" s="34"/>
      <c r="DX660" s="1460" t="e">
        <f t="shared" si="2"/>
        <v>#VALUE!</v>
      </c>
      <c r="DY660" s="1460"/>
      <c r="DZ660" s="1460"/>
      <c r="EA660" s="1460"/>
      <c r="EB660" s="1460"/>
      <c r="EC660" s="1460" t="e">
        <f t="shared" si="3"/>
        <v>#VALUE!</v>
      </c>
      <c r="ED660" s="1460"/>
      <c r="EE660" s="1460"/>
      <c r="EF660" s="1460"/>
      <c r="EG660" s="1460"/>
      <c r="EH660" s="1460" t="e">
        <f t="shared" si="4"/>
        <v>#VALUE!</v>
      </c>
      <c r="EI660" s="1460"/>
      <c r="EJ660" s="1460"/>
      <c r="EK660" s="1460"/>
      <c r="EL660" s="1460"/>
      <c r="EM660" s="1460" t="e">
        <f t="shared" si="5"/>
        <v>#VALUE!</v>
      </c>
      <c r="EN660" s="1460"/>
      <c r="EO660" s="1460"/>
      <c r="EP660" s="1460"/>
      <c r="EQ660" s="1460"/>
      <c r="ER660" s="1460" t="e">
        <f t="shared" si="6"/>
        <v>#VALUE!</v>
      </c>
      <c r="ES660" s="1460"/>
      <c r="ET660" s="1460"/>
      <c r="EU660" s="1460"/>
      <c r="EV660" s="1460"/>
      <c r="EW660" s="1460" t="e">
        <f t="shared" si="7"/>
        <v>#VALUE!</v>
      </c>
      <c r="EX660" s="1460"/>
      <c r="EY660" s="1460"/>
      <c r="EZ660" s="1460"/>
      <c r="FA660" s="1460"/>
    </row>
    <row r="661" spans="1:157" ht="12.95" customHeight="1">
      <c r="A661" s="22"/>
      <c r="B661" t="s">
        <v>581</v>
      </c>
      <c r="G661" s="1353" t="s">
        <v>2631</v>
      </c>
      <c r="H661" s="1353"/>
      <c r="I661" s="1353"/>
      <c r="J661" s="1353"/>
      <c r="K661" s="1353"/>
      <c r="L661" s="1353"/>
      <c r="M661" s="1353"/>
      <c r="N661" s="1353"/>
      <c r="O661" s="1353"/>
      <c r="P661" s="1353"/>
      <c r="Q661" s="1353"/>
      <c r="R661" s="1353"/>
      <c r="T661" s="22"/>
      <c r="U661" t="s">
        <v>581</v>
      </c>
      <c r="Z661" s="250"/>
      <c r="AA661" s="250"/>
      <c r="AB661" s="250"/>
      <c r="AC661" s="250"/>
      <c r="AD661" s="250"/>
      <c r="AE661" s="250"/>
      <c r="AF661" s="250"/>
      <c r="AG661" s="250"/>
      <c r="AH661" s="250"/>
      <c r="AI661" s="250"/>
      <c r="AJ661" s="250"/>
      <c r="AK661" s="250"/>
      <c r="AZ661" s="34"/>
      <c r="BA661" s="34"/>
      <c r="BB661" s="34"/>
      <c r="BC661" s="34"/>
      <c r="BD661" s="34"/>
      <c r="BE661" s="34"/>
      <c r="BF661" s="34"/>
      <c r="BG661" s="34"/>
      <c r="BH661" s="34"/>
      <c r="BI661" s="34"/>
      <c r="BJ661" s="34"/>
      <c r="BK661" s="34"/>
      <c r="BL661" s="34"/>
      <c r="BM661" s="34"/>
      <c r="DX661" s="1460" t="e">
        <f t="shared" si="2"/>
        <v>#VALUE!</v>
      </c>
      <c r="DY661" s="1460"/>
      <c r="DZ661" s="1460"/>
      <c r="EA661" s="1460"/>
      <c r="EB661" s="1460"/>
      <c r="EC661" s="1460" t="e">
        <f t="shared" si="3"/>
        <v>#VALUE!</v>
      </c>
      <c r="ED661" s="1460"/>
      <c r="EE661" s="1460"/>
      <c r="EF661" s="1460"/>
      <c r="EG661" s="1460"/>
      <c r="EH661" s="1460" t="e">
        <f t="shared" si="4"/>
        <v>#VALUE!</v>
      </c>
      <c r="EI661" s="1460"/>
      <c r="EJ661" s="1460"/>
      <c r="EK661" s="1460"/>
      <c r="EL661" s="1460"/>
      <c r="EM661" s="1460" t="e">
        <f t="shared" si="5"/>
        <v>#VALUE!</v>
      </c>
      <c r="EN661" s="1460"/>
      <c r="EO661" s="1460"/>
      <c r="EP661" s="1460"/>
      <c r="EQ661" s="1460"/>
      <c r="ER661" s="1460" t="e">
        <f t="shared" si="6"/>
        <v>#VALUE!</v>
      </c>
      <c r="ES661" s="1460"/>
      <c r="ET661" s="1460"/>
      <c r="EU661" s="1460"/>
      <c r="EV661" s="1460"/>
      <c r="EW661" s="1460" t="e">
        <f t="shared" si="7"/>
        <v>#VALUE!</v>
      </c>
      <c r="EX661" s="1460"/>
      <c r="EY661" s="1460"/>
      <c r="EZ661" s="1460"/>
      <c r="FA661" s="1460"/>
    </row>
    <row r="662" spans="1:157" ht="12.95" customHeight="1">
      <c r="A662" s="22"/>
      <c r="B662" t="s">
        <v>17</v>
      </c>
      <c r="G662" s="1353" t="s">
        <v>2627</v>
      </c>
      <c r="H662" s="1353"/>
      <c r="I662" s="1353"/>
      <c r="J662" s="1353"/>
      <c r="K662" s="1353"/>
      <c r="L662" s="1353"/>
      <c r="M662" s="1353"/>
      <c r="N662" s="1353"/>
      <c r="O662" s="1353"/>
      <c r="P662" s="1353"/>
      <c r="Q662" s="1353"/>
      <c r="R662" s="1353"/>
      <c r="T662" s="22"/>
      <c r="U662" t="s">
        <v>17</v>
      </c>
      <c r="Z662" s="250"/>
      <c r="AA662" s="250"/>
      <c r="AB662" s="250"/>
      <c r="AC662" s="250"/>
      <c r="AD662" s="250"/>
      <c r="AE662" s="250"/>
      <c r="AF662" s="250"/>
      <c r="AG662" s="250"/>
      <c r="AH662" s="250"/>
      <c r="AI662" s="250"/>
      <c r="AJ662" s="250"/>
      <c r="AK662" s="2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60" t="e">
        <f t="shared" si="2"/>
        <v>#VALUE!</v>
      </c>
      <c r="DY662" s="1460"/>
      <c r="DZ662" s="1460"/>
      <c r="EA662" s="1460"/>
      <c r="EB662" s="1460"/>
      <c r="EC662" s="1460" t="e">
        <f t="shared" si="3"/>
        <v>#VALUE!</v>
      </c>
      <c r="ED662" s="1460"/>
      <c r="EE662" s="1460"/>
      <c r="EF662" s="1460"/>
      <c r="EG662" s="1460"/>
      <c r="EH662" s="1460" t="e">
        <f t="shared" si="4"/>
        <v>#VALUE!</v>
      </c>
      <c r="EI662" s="1460"/>
      <c r="EJ662" s="1460"/>
      <c r="EK662" s="1460"/>
      <c r="EL662" s="1460"/>
      <c r="EM662" s="1460" t="e">
        <f t="shared" si="5"/>
        <v>#VALUE!</v>
      </c>
      <c r="EN662" s="1460"/>
      <c r="EO662" s="1460"/>
      <c r="EP662" s="1460"/>
      <c r="EQ662" s="1460"/>
      <c r="ER662" s="1460" t="e">
        <f t="shared" si="6"/>
        <v>#VALUE!</v>
      </c>
      <c r="ES662" s="1460"/>
      <c r="ET662" s="1460"/>
      <c r="EU662" s="1460"/>
      <c r="EV662" s="1460"/>
      <c r="EW662" s="1460" t="e">
        <f t="shared" si="7"/>
        <v>#VALUE!</v>
      </c>
      <c r="EX662" s="1460"/>
      <c r="EY662" s="1460"/>
      <c r="EZ662" s="1460"/>
      <c r="FA662" s="1460"/>
    </row>
    <row r="663" spans="1:157" ht="12.95" customHeight="1">
      <c r="A663" s="22"/>
      <c r="B663" t="s">
        <v>316</v>
      </c>
      <c r="G663" s="1347" t="s">
        <v>2628</v>
      </c>
      <c r="H663" s="1348"/>
      <c r="I663" s="1348"/>
      <c r="J663" s="1348"/>
      <c r="K663" s="1348"/>
      <c r="L663" s="1348"/>
      <c r="O663" s="33" t="s">
        <v>206</v>
      </c>
      <c r="P663" s="1441"/>
      <c r="Q663" s="1441"/>
      <c r="R663" s="1441"/>
      <c r="T663" s="22"/>
      <c r="U663" t="s">
        <v>316</v>
      </c>
      <c r="Z663" s="1259"/>
      <c r="AA663" s="1259"/>
      <c r="AB663" s="1259"/>
      <c r="AC663" s="1259"/>
      <c r="AD663" s="1259"/>
      <c r="AE663" s="1259"/>
      <c r="AH663" s="33" t="s">
        <v>206</v>
      </c>
      <c r="AI663" s="1441"/>
      <c r="AJ663" s="1441"/>
      <c r="AK663" s="144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60" t="e">
        <f t="shared" si="2"/>
        <v>#VALUE!</v>
      </c>
      <c r="DY663" s="1460"/>
      <c r="DZ663" s="1460"/>
      <c r="EA663" s="1460"/>
      <c r="EB663" s="1460"/>
      <c r="EC663" s="1460" t="e">
        <f t="shared" si="3"/>
        <v>#VALUE!</v>
      </c>
      <c r="ED663" s="1460"/>
      <c r="EE663" s="1460"/>
      <c r="EF663" s="1460"/>
      <c r="EG663" s="1460"/>
      <c r="EH663" s="1460" t="e">
        <f t="shared" si="4"/>
        <v>#VALUE!</v>
      </c>
      <c r="EI663" s="1460"/>
      <c r="EJ663" s="1460"/>
      <c r="EK663" s="1460"/>
      <c r="EL663" s="1460"/>
      <c r="EM663" s="1460" t="e">
        <f t="shared" si="5"/>
        <v>#VALUE!</v>
      </c>
      <c r="EN663" s="1460"/>
      <c r="EO663" s="1460"/>
      <c r="EP663" s="1460"/>
      <c r="EQ663" s="1460"/>
      <c r="ER663" s="1460" t="e">
        <f t="shared" si="6"/>
        <v>#VALUE!</v>
      </c>
      <c r="ES663" s="1460"/>
      <c r="ET663" s="1460"/>
      <c r="EU663" s="1460"/>
      <c r="EV663" s="1460"/>
      <c r="EW663" s="1460" t="e">
        <f t="shared" si="7"/>
        <v>#VALUE!</v>
      </c>
      <c r="EX663" s="1460"/>
      <c r="EY663" s="1460"/>
      <c r="EZ663" s="1460"/>
      <c r="FA663" s="1460"/>
    </row>
    <row r="664" spans="1:157" ht="12.95" customHeight="1">
      <c r="A664" s="22"/>
      <c r="B664" t="s">
        <v>18</v>
      </c>
      <c r="H664" s="1376" t="s">
        <v>2323</v>
      </c>
      <c r="I664" s="1376"/>
      <c r="J664" s="1376"/>
      <c r="K664" s="1376"/>
      <c r="L664" s="1376"/>
      <c r="M664" s="1376"/>
      <c r="N664" s="1376"/>
      <c r="O664" s="1376"/>
      <c r="P664" s="1376"/>
      <c r="Q664" s="1376"/>
      <c r="R664" s="1376"/>
      <c r="T664" s="22"/>
      <c r="U664" t="s">
        <v>18</v>
      </c>
      <c r="AA664" s="1376"/>
      <c r="AB664" s="1376"/>
      <c r="AC664" s="1376"/>
      <c r="AD664" s="1376"/>
      <c r="AE664" s="1376"/>
      <c r="AF664" s="1376"/>
      <c r="AG664" s="1376"/>
      <c r="AH664" s="1376"/>
      <c r="AI664" s="1376"/>
      <c r="AJ664" s="1376"/>
      <c r="AK664" s="137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60" t="e">
        <f t="shared" si="2"/>
        <v>#VALUE!</v>
      </c>
      <c r="DY664" s="1460"/>
      <c r="DZ664" s="1460"/>
      <c r="EA664" s="1460"/>
      <c r="EB664" s="1460"/>
      <c r="EC664" s="1460" t="e">
        <f t="shared" si="3"/>
        <v>#VALUE!</v>
      </c>
      <c r="ED664" s="1460"/>
      <c r="EE664" s="1460"/>
      <c r="EF664" s="1460"/>
      <c r="EG664" s="1460"/>
      <c r="EH664" s="1460" t="e">
        <f t="shared" si="4"/>
        <v>#VALUE!</v>
      </c>
      <c r="EI664" s="1460"/>
      <c r="EJ664" s="1460"/>
      <c r="EK664" s="1460"/>
      <c r="EL664" s="1460"/>
      <c r="EM664" s="1460" t="e">
        <f t="shared" si="5"/>
        <v>#VALUE!</v>
      </c>
      <c r="EN664" s="1460"/>
      <c r="EO664" s="1460"/>
      <c r="EP664" s="1460"/>
      <c r="EQ664" s="1460"/>
      <c r="ER664" s="1460" t="e">
        <f t="shared" si="6"/>
        <v>#VALUE!</v>
      </c>
      <c r="ES664" s="1460"/>
      <c r="ET664" s="1460"/>
      <c r="EU664" s="1460"/>
      <c r="EV664" s="1460"/>
      <c r="EW664" s="1460" t="e">
        <f t="shared" si="7"/>
        <v>#VALUE!</v>
      </c>
      <c r="EX664" s="1460"/>
      <c r="EY664" s="1460"/>
      <c r="EZ664" s="1460"/>
      <c r="FA664" s="1460"/>
    </row>
    <row r="665" spans="1:157" ht="12.95" customHeight="1">
      <c r="A665" s="22"/>
      <c r="B665" t="s">
        <v>20</v>
      </c>
      <c r="N665" s="1336" t="s">
        <v>546</v>
      </c>
      <c r="O665" s="1336"/>
      <c r="T665" s="22"/>
      <c r="U665" t="s">
        <v>20</v>
      </c>
      <c r="AG665" s="1336"/>
      <c r="AH665" s="133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60" t="e">
        <f t="shared" si="2"/>
        <v>#VALUE!</v>
      </c>
      <c r="DY665" s="1460"/>
      <c r="DZ665" s="1460"/>
      <c r="EA665" s="1460"/>
      <c r="EB665" s="1460"/>
      <c r="EC665" s="1460" t="e">
        <f t="shared" si="3"/>
        <v>#VALUE!</v>
      </c>
      <c r="ED665" s="1460"/>
      <c r="EE665" s="1460"/>
      <c r="EF665" s="1460"/>
      <c r="EG665" s="1460"/>
      <c r="EH665" s="1460" t="e">
        <f t="shared" si="4"/>
        <v>#VALUE!</v>
      </c>
      <c r="EI665" s="1460"/>
      <c r="EJ665" s="1460"/>
      <c r="EK665" s="1460"/>
      <c r="EL665" s="1460"/>
      <c r="EM665" s="1460" t="e">
        <f t="shared" si="5"/>
        <v>#VALUE!</v>
      </c>
      <c r="EN665" s="1460"/>
      <c r="EO665" s="1460"/>
      <c r="EP665" s="1460"/>
      <c r="EQ665" s="1460"/>
      <c r="ER665" s="1460" t="e">
        <f t="shared" si="6"/>
        <v>#VALUE!</v>
      </c>
      <c r="ES665" s="1460"/>
      <c r="ET665" s="1460"/>
      <c r="EU665" s="1460"/>
      <c r="EV665" s="1460"/>
      <c r="EW665" s="1460" t="e">
        <f t="shared" si="7"/>
        <v>#VALUE!</v>
      </c>
      <c r="EX665" s="1460"/>
      <c r="EY665" s="1460"/>
      <c r="EZ665" s="1460"/>
      <c r="FA665" s="1460"/>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60" t="e">
        <f t="shared" si="2"/>
        <v>#VALUE!</v>
      </c>
      <c r="DY666" s="1460"/>
      <c r="DZ666" s="1460"/>
      <c r="EA666" s="1460"/>
      <c r="EB666" s="1460"/>
      <c r="EC666" s="1460" t="e">
        <f t="shared" si="3"/>
        <v>#VALUE!</v>
      </c>
      <c r="ED666" s="1460"/>
      <c r="EE666" s="1460"/>
      <c r="EF666" s="1460"/>
      <c r="EG666" s="1460"/>
      <c r="EH666" s="1460" t="e">
        <f t="shared" si="4"/>
        <v>#VALUE!</v>
      </c>
      <c r="EI666" s="1460"/>
      <c r="EJ666" s="1460"/>
      <c r="EK666" s="1460"/>
      <c r="EL666" s="1460"/>
      <c r="EM666" s="1460" t="e">
        <f t="shared" si="5"/>
        <v>#VALUE!</v>
      </c>
      <c r="EN666" s="1460"/>
      <c r="EO666" s="1460"/>
      <c r="EP666" s="1460"/>
      <c r="EQ666" s="1460"/>
      <c r="ER666" s="1460" t="e">
        <f t="shared" si="6"/>
        <v>#VALUE!</v>
      </c>
      <c r="ES666" s="1460"/>
      <c r="ET666" s="1460"/>
      <c r="EU666" s="1460"/>
      <c r="EV666" s="1460"/>
      <c r="EW666" s="1460" t="e">
        <f t="shared" si="7"/>
        <v>#VALUE!</v>
      </c>
      <c r="EX666" s="1460"/>
      <c r="EY666" s="1460"/>
      <c r="EZ666" s="1460"/>
      <c r="FA666" s="1460"/>
    </row>
    <row r="667" spans="1:157" ht="12.95" customHeight="1">
      <c r="A667" s="55" t="s">
        <v>456</v>
      </c>
      <c r="B667" t="s">
        <v>464</v>
      </c>
      <c r="G667" s="1363">
        <f>C633</f>
        <v>0</v>
      </c>
      <c r="H667" s="1363"/>
      <c r="I667" s="1363"/>
      <c r="J667" s="1363"/>
      <c r="K667" s="1363"/>
      <c r="L667" s="1363"/>
      <c r="M667" s="1363"/>
      <c r="N667" s="1363"/>
      <c r="O667" s="1363"/>
      <c r="P667" s="1363"/>
      <c r="Q667" s="1363"/>
      <c r="R667" s="1363"/>
      <c r="T667" s="55" t="s">
        <v>457</v>
      </c>
      <c r="U667" t="s">
        <v>464</v>
      </c>
      <c r="Z667" s="1363">
        <f>C634</f>
        <v>0</v>
      </c>
      <c r="AA667" s="1363"/>
      <c r="AB667" s="1363"/>
      <c r="AC667" s="1363"/>
      <c r="AD667" s="1363"/>
      <c r="AE667" s="1363"/>
      <c r="AF667" s="1363"/>
      <c r="AG667" s="1363"/>
      <c r="AH667" s="1363"/>
      <c r="AI667" s="1363"/>
      <c r="AJ667" s="1363"/>
      <c r="AK667" s="136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60" t="e">
        <f t="shared" si="2"/>
        <v>#VALUE!</v>
      </c>
      <c r="DY667" s="1460"/>
      <c r="DZ667" s="1460"/>
      <c r="EA667" s="1460"/>
      <c r="EB667" s="1460"/>
      <c r="EC667" s="1460" t="e">
        <f t="shared" si="3"/>
        <v>#VALUE!</v>
      </c>
      <c r="ED667" s="1460"/>
      <c r="EE667" s="1460"/>
      <c r="EF667" s="1460"/>
      <c r="EG667" s="1460"/>
      <c r="EH667" s="1460" t="e">
        <f t="shared" si="4"/>
        <v>#VALUE!</v>
      </c>
      <c r="EI667" s="1460"/>
      <c r="EJ667" s="1460"/>
      <c r="EK667" s="1460"/>
      <c r="EL667" s="1460"/>
      <c r="EM667" s="1460" t="e">
        <f t="shared" si="5"/>
        <v>#VALUE!</v>
      </c>
      <c r="EN667" s="1460"/>
      <c r="EO667" s="1460"/>
      <c r="EP667" s="1460"/>
      <c r="EQ667" s="1460"/>
      <c r="ER667" s="1460" t="e">
        <f t="shared" si="6"/>
        <v>#VALUE!</v>
      </c>
      <c r="ES667" s="1460"/>
      <c r="ET667" s="1460"/>
      <c r="EU667" s="1460"/>
      <c r="EV667" s="1460"/>
      <c r="EW667" s="1460" t="e">
        <f t="shared" si="7"/>
        <v>#VALUE!</v>
      </c>
      <c r="EX667" s="1460"/>
      <c r="EY667" s="1460"/>
      <c r="EZ667" s="1460"/>
      <c r="FA667" s="1460"/>
    </row>
    <row r="668" spans="1:157" ht="12.95" customHeight="1">
      <c r="A668" s="22"/>
      <c r="B668" t="s">
        <v>85</v>
      </c>
      <c r="G668" s="1376"/>
      <c r="H668" s="1376"/>
      <c r="I668" s="1376"/>
      <c r="J668" s="1376"/>
      <c r="K668" s="1376"/>
      <c r="L668" s="1376"/>
      <c r="M668" s="1376"/>
      <c r="N668" s="1376"/>
      <c r="O668" s="1376"/>
      <c r="P668" s="1376"/>
      <c r="Q668" s="1376"/>
      <c r="R668" s="1376"/>
      <c r="T668" s="22"/>
      <c r="U668" t="s">
        <v>85</v>
      </c>
      <c r="Z668" s="1376"/>
      <c r="AA668" s="1376"/>
      <c r="AB668" s="1376"/>
      <c r="AC668" s="1376"/>
      <c r="AD668" s="1376"/>
      <c r="AE668" s="1376"/>
      <c r="AF668" s="1376"/>
      <c r="AG668" s="1376"/>
      <c r="AH668" s="1376"/>
      <c r="AI668" s="1376"/>
      <c r="AJ668" s="1376"/>
      <c r="AK668" s="1376"/>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60" t="e">
        <f t="shared" si="2"/>
        <v>#VALUE!</v>
      </c>
      <c r="DY668" s="1460"/>
      <c r="DZ668" s="1460"/>
      <c r="EA668" s="1460"/>
      <c r="EB668" s="1460"/>
      <c r="EC668" s="1460" t="e">
        <f t="shared" si="3"/>
        <v>#VALUE!</v>
      </c>
      <c r="ED668" s="1460"/>
      <c r="EE668" s="1460"/>
      <c r="EF668" s="1460"/>
      <c r="EG668" s="1460"/>
      <c r="EH668" s="1460" t="e">
        <f t="shared" si="4"/>
        <v>#VALUE!</v>
      </c>
      <c r="EI668" s="1460"/>
      <c r="EJ668" s="1460"/>
      <c r="EK668" s="1460"/>
      <c r="EL668" s="1460"/>
      <c r="EM668" s="1460" t="e">
        <f t="shared" si="5"/>
        <v>#VALUE!</v>
      </c>
      <c r="EN668" s="1460"/>
      <c r="EO668" s="1460"/>
      <c r="EP668" s="1460"/>
      <c r="EQ668" s="1460"/>
      <c r="ER668" s="1460" t="e">
        <f t="shared" si="6"/>
        <v>#VALUE!</v>
      </c>
      <c r="ES668" s="1460"/>
      <c r="ET668" s="1460"/>
      <c r="EU668" s="1460"/>
      <c r="EV668" s="1460"/>
      <c r="EW668" s="1460" t="e">
        <f t="shared" si="7"/>
        <v>#VALUE!</v>
      </c>
      <c r="EX668" s="1460"/>
      <c r="EY668" s="1460"/>
      <c r="EZ668" s="1460"/>
      <c r="FA668" s="1460"/>
    </row>
    <row r="669" spans="1:157" ht="12.95" customHeight="1">
      <c r="A669" s="22"/>
      <c r="B669" t="s">
        <v>581</v>
      </c>
      <c r="G669" s="1376"/>
      <c r="H669" s="1376"/>
      <c r="I669" s="1376"/>
      <c r="J669" s="1376"/>
      <c r="K669" s="1376"/>
      <c r="L669" s="1376"/>
      <c r="M669" s="1376"/>
      <c r="N669" s="1376"/>
      <c r="O669" s="1376"/>
      <c r="P669" s="1376"/>
      <c r="Q669" s="1376"/>
      <c r="R669" s="1376"/>
      <c r="T669" s="22"/>
      <c r="U669" t="s">
        <v>581</v>
      </c>
      <c r="Z669" s="1353"/>
      <c r="AA669" s="1353"/>
      <c r="AB669" s="1353"/>
      <c r="AC669" s="1353"/>
      <c r="AD669" s="1353"/>
      <c r="AE669" s="1353"/>
      <c r="AF669" s="1353"/>
      <c r="AG669" s="1353"/>
      <c r="AH669" s="1353"/>
      <c r="AI669" s="1353"/>
      <c r="AJ669" s="1353"/>
      <c r="AK669" s="135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60" t="e">
        <f t="shared" si="2"/>
        <v>#VALUE!</v>
      </c>
      <c r="DY669" s="1460"/>
      <c r="DZ669" s="1460"/>
      <c r="EA669" s="1460"/>
      <c r="EB669" s="1460"/>
      <c r="EC669" s="1460" t="e">
        <f t="shared" si="3"/>
        <v>#VALUE!</v>
      </c>
      <c r="ED669" s="1460"/>
      <c r="EE669" s="1460"/>
      <c r="EF669" s="1460"/>
      <c r="EG669" s="1460"/>
      <c r="EH669" s="1460" t="e">
        <f t="shared" si="4"/>
        <v>#VALUE!</v>
      </c>
      <c r="EI669" s="1460"/>
      <c r="EJ669" s="1460"/>
      <c r="EK669" s="1460"/>
      <c r="EL669" s="1460"/>
      <c r="EM669" s="1460" t="e">
        <f t="shared" si="5"/>
        <v>#VALUE!</v>
      </c>
      <c r="EN669" s="1460"/>
      <c r="EO669" s="1460"/>
      <c r="EP669" s="1460"/>
      <c r="EQ669" s="1460"/>
      <c r="ER669" s="1460" t="e">
        <f t="shared" si="6"/>
        <v>#VALUE!</v>
      </c>
      <c r="ES669" s="1460"/>
      <c r="ET669" s="1460"/>
      <c r="EU669" s="1460"/>
      <c r="EV669" s="1460"/>
      <c r="EW669" s="1460" t="e">
        <f t="shared" si="7"/>
        <v>#VALUE!</v>
      </c>
      <c r="EX669" s="1460"/>
      <c r="EY669" s="1460"/>
      <c r="EZ669" s="1460"/>
      <c r="FA669" s="1460"/>
    </row>
    <row r="670" spans="1:157" ht="12.95" customHeight="1">
      <c r="A670" s="22"/>
      <c r="B670" t="s">
        <v>17</v>
      </c>
      <c r="G670" s="1376"/>
      <c r="H670" s="1376"/>
      <c r="I670" s="1376"/>
      <c r="J670" s="1376"/>
      <c r="K670" s="1376"/>
      <c r="L670" s="1376"/>
      <c r="M670" s="1376"/>
      <c r="N670" s="1376"/>
      <c r="O670" s="1376"/>
      <c r="P670" s="1376"/>
      <c r="Q670" s="1376"/>
      <c r="R670" s="1376"/>
      <c r="T670" s="22"/>
      <c r="U670" t="s">
        <v>17</v>
      </c>
      <c r="Z670" s="1353"/>
      <c r="AA670" s="1353"/>
      <c r="AB670" s="1353"/>
      <c r="AC670" s="1353"/>
      <c r="AD670" s="1353"/>
      <c r="AE670" s="1353"/>
      <c r="AF670" s="1353"/>
      <c r="AG670" s="1353"/>
      <c r="AH670" s="1353"/>
      <c r="AI670" s="1353"/>
      <c r="AJ670" s="1353"/>
      <c r="AK670" s="135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60">
        <f>SUMIF(DX635:EB669,"&gt;0")</f>
        <v>1118.5</v>
      </c>
      <c r="DY670" s="1460"/>
      <c r="DZ670" s="1460"/>
      <c r="EA670" s="1460"/>
      <c r="EB670" s="1460"/>
      <c r="EC670" s="1460">
        <f>SUMIF(EC635:EG669,"&gt;0")</f>
        <v>1166.3103448275863</v>
      </c>
      <c r="ED670" s="1460"/>
      <c r="EE670" s="1460"/>
      <c r="EF670" s="1460"/>
      <c r="EG670" s="1460"/>
      <c r="EH670" s="1460">
        <f>SUMIF(EH635:EL669,"&gt;0")</f>
        <v>0</v>
      </c>
      <c r="EI670" s="1460"/>
      <c r="EJ670" s="1460"/>
      <c r="EK670" s="1460"/>
      <c r="EL670" s="1460"/>
      <c r="EM670" s="1460">
        <f>SUMIF(EM635:EQ669,"&gt;0")</f>
        <v>0</v>
      </c>
      <c r="EN670" s="1460"/>
      <c r="EO670" s="1460"/>
      <c r="EP670" s="1460"/>
      <c r="EQ670" s="1460"/>
      <c r="ER670" s="1460">
        <f>SUMIF(ER635:EV669,"&gt;0")</f>
        <v>0</v>
      </c>
      <c r="ES670" s="1460"/>
      <c r="ET670" s="1460"/>
      <c r="EU670" s="1460"/>
      <c r="EV670" s="1460"/>
      <c r="EW670" s="1460">
        <f>SUMIF(EW635:FA669,"&gt;0")</f>
        <v>0</v>
      </c>
      <c r="EX670" s="1460"/>
      <c r="EY670" s="1460"/>
      <c r="EZ670" s="1460"/>
      <c r="FA670" s="1460"/>
    </row>
    <row r="671" spans="1:157" ht="12.95" customHeight="1">
      <c r="A671" s="22"/>
      <c r="B671" t="s">
        <v>316</v>
      </c>
      <c r="G671" s="1348"/>
      <c r="H671" s="1348"/>
      <c r="I671" s="1348"/>
      <c r="J671" s="1348"/>
      <c r="K671" s="1348"/>
      <c r="L671" s="1348"/>
      <c r="O671" s="33" t="s">
        <v>206</v>
      </c>
      <c r="P671" s="1441"/>
      <c r="Q671" s="1441"/>
      <c r="R671" s="1441"/>
      <c r="T671" s="22"/>
      <c r="U671" t="s">
        <v>316</v>
      </c>
      <c r="Z671" s="1348"/>
      <c r="AA671" s="1348"/>
      <c r="AB671" s="1348"/>
      <c r="AC671" s="1348"/>
      <c r="AD671" s="1348"/>
      <c r="AE671" s="1348"/>
      <c r="AH671" s="33" t="s">
        <v>206</v>
      </c>
      <c r="AI671" s="1441"/>
      <c r="AJ671" s="1441"/>
      <c r="AK671" s="144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6"/>
      <c r="I672" s="1376"/>
      <c r="J672" s="1376"/>
      <c r="K672" s="1376"/>
      <c r="L672" s="1376"/>
      <c r="M672" s="1376"/>
      <c r="N672" s="1376"/>
      <c r="O672" s="1376"/>
      <c r="P672" s="1376"/>
      <c r="Q672" s="1376"/>
      <c r="R672" s="1376"/>
      <c r="T672" s="22"/>
      <c r="U672" t="s">
        <v>18</v>
      </c>
      <c r="AA672" s="1376"/>
      <c r="AB672" s="1376"/>
      <c r="AC672" s="1376"/>
      <c r="AD672" s="1376"/>
      <c r="AE672" s="1376"/>
      <c r="AF672" s="1376"/>
      <c r="AG672" s="1376"/>
      <c r="AH672" s="1376"/>
      <c r="AI672" s="1376"/>
      <c r="AJ672" s="1376"/>
      <c r="AK672" s="1376"/>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6" t="s">
        <v>670</v>
      </c>
      <c r="O673" s="1336"/>
      <c r="T673" s="22"/>
      <c r="U673" t="s">
        <v>20</v>
      </c>
      <c r="AG673" s="1336" t="s">
        <v>670</v>
      </c>
      <c r="AH673" s="1336"/>
      <c r="AZ673" s="3"/>
    </row>
    <row r="674" spans="1:52" ht="12.95" customHeight="1">
      <c r="A674" s="22"/>
      <c r="T674" s="22"/>
      <c r="AZ674" s="3"/>
    </row>
    <row r="675" spans="1:52" ht="12.95" customHeight="1">
      <c r="A675" s="55" t="s">
        <v>462</v>
      </c>
      <c r="B675" t="s">
        <v>464</v>
      </c>
      <c r="G675" s="1363">
        <f>C635</f>
        <v>0</v>
      </c>
      <c r="H675" s="1363"/>
      <c r="I675" s="1363"/>
      <c r="J675" s="1363"/>
      <c r="K675" s="1363"/>
      <c r="L675" s="1363"/>
      <c r="M675" s="1363"/>
      <c r="N675" s="1363"/>
      <c r="O675" s="1363"/>
      <c r="P675" s="1363"/>
      <c r="Q675" s="1363"/>
      <c r="R675" s="1363"/>
      <c r="T675" s="55" t="s">
        <v>647</v>
      </c>
      <c r="U675" t="s">
        <v>464</v>
      </c>
      <c r="Z675" s="1363">
        <f>C636</f>
        <v>0</v>
      </c>
      <c r="AA675" s="1363"/>
      <c r="AB675" s="1363"/>
      <c r="AC675" s="1363"/>
      <c r="AD675" s="1363"/>
      <c r="AE675" s="1363"/>
      <c r="AF675" s="1363"/>
      <c r="AG675" s="1363"/>
      <c r="AH675" s="1363"/>
      <c r="AI675" s="1363"/>
      <c r="AJ675" s="1363"/>
      <c r="AK675" s="1363"/>
      <c r="AZ675" s="3"/>
    </row>
    <row r="676" spans="1:52" ht="12.95" customHeight="1">
      <c r="A676" s="22"/>
      <c r="B676" t="s">
        <v>85</v>
      </c>
      <c r="G676" s="1376"/>
      <c r="H676" s="1376"/>
      <c r="I676" s="1376"/>
      <c r="J676" s="1376"/>
      <c r="K676" s="1376"/>
      <c r="L676" s="1376"/>
      <c r="M676" s="1376"/>
      <c r="N676" s="1376"/>
      <c r="O676" s="1376"/>
      <c r="P676" s="1376"/>
      <c r="Q676" s="1376"/>
      <c r="R676" s="1376"/>
      <c r="T676" s="22"/>
      <c r="U676" t="s">
        <v>85</v>
      </c>
      <c r="Z676" s="1376"/>
      <c r="AA676" s="1376"/>
      <c r="AB676" s="1376"/>
      <c r="AC676" s="1376"/>
      <c r="AD676" s="1376"/>
      <c r="AE676" s="1376"/>
      <c r="AF676" s="1376"/>
      <c r="AG676" s="1376"/>
      <c r="AH676" s="1376"/>
      <c r="AI676" s="1376"/>
      <c r="AJ676" s="1376"/>
      <c r="AK676" s="1376"/>
      <c r="AZ676" s="3"/>
    </row>
    <row r="677" spans="1:52" ht="12.95" customHeight="1">
      <c r="A677" s="22"/>
      <c r="B677" t="s">
        <v>581</v>
      </c>
      <c r="G677" s="1376"/>
      <c r="H677" s="1376"/>
      <c r="I677" s="1376"/>
      <c r="J677" s="1376"/>
      <c r="K677" s="1376"/>
      <c r="L677" s="1376"/>
      <c r="M677" s="1376"/>
      <c r="N677" s="1376"/>
      <c r="O677" s="1376"/>
      <c r="P677" s="1376"/>
      <c r="Q677" s="1376"/>
      <c r="R677" s="1376"/>
      <c r="T677" s="22"/>
      <c r="U677" t="s">
        <v>581</v>
      </c>
      <c r="Z677" s="1353"/>
      <c r="AA677" s="1353"/>
      <c r="AB677" s="1353"/>
      <c r="AC677" s="1353"/>
      <c r="AD677" s="1353"/>
      <c r="AE677" s="1353"/>
      <c r="AF677" s="1353"/>
      <c r="AG677" s="1353"/>
      <c r="AH677" s="1353"/>
      <c r="AI677" s="1353"/>
      <c r="AJ677" s="1353"/>
      <c r="AK677" s="1353"/>
      <c r="AZ677" s="3"/>
    </row>
    <row r="678" spans="1:52" ht="12.95" customHeight="1">
      <c r="A678" s="22"/>
      <c r="B678" t="s">
        <v>17</v>
      </c>
      <c r="G678" s="1376"/>
      <c r="H678" s="1376"/>
      <c r="I678" s="1376"/>
      <c r="J678" s="1376"/>
      <c r="K678" s="1376"/>
      <c r="L678" s="1376"/>
      <c r="M678" s="1376"/>
      <c r="N678" s="1376"/>
      <c r="O678" s="1376"/>
      <c r="P678" s="1376"/>
      <c r="Q678" s="1376"/>
      <c r="R678" s="1376"/>
      <c r="T678" s="22"/>
      <c r="U678" t="s">
        <v>17</v>
      </c>
      <c r="Z678" s="1353"/>
      <c r="AA678" s="1353"/>
      <c r="AB678" s="1353"/>
      <c r="AC678" s="1353"/>
      <c r="AD678" s="1353"/>
      <c r="AE678" s="1353"/>
      <c r="AF678" s="1353"/>
      <c r="AG678" s="1353"/>
      <c r="AH678" s="1353"/>
      <c r="AI678" s="1353"/>
      <c r="AJ678" s="1353"/>
      <c r="AK678" s="1353"/>
      <c r="AZ678" s="3"/>
    </row>
    <row r="679" spans="1:52" ht="12.95" customHeight="1">
      <c r="A679" s="22"/>
      <c r="B679" t="s">
        <v>316</v>
      </c>
      <c r="G679" s="1348"/>
      <c r="H679" s="1348"/>
      <c r="I679" s="1348"/>
      <c r="J679" s="1348"/>
      <c r="K679" s="1348"/>
      <c r="L679" s="1348"/>
      <c r="O679" s="33" t="s">
        <v>206</v>
      </c>
      <c r="P679" s="1441"/>
      <c r="Q679" s="1441"/>
      <c r="R679" s="1441"/>
      <c r="T679" s="22"/>
      <c r="U679" t="s">
        <v>316</v>
      </c>
      <c r="Z679" s="1348"/>
      <c r="AA679" s="1348"/>
      <c r="AB679" s="1348"/>
      <c r="AC679" s="1348"/>
      <c r="AD679" s="1348"/>
      <c r="AE679" s="1348"/>
      <c r="AH679" s="33" t="s">
        <v>206</v>
      </c>
      <c r="AI679" s="1441"/>
      <c r="AJ679" s="1441"/>
      <c r="AK679" s="1441"/>
      <c r="AZ679" s="3"/>
    </row>
    <row r="680" spans="1:52" ht="12.95" customHeight="1">
      <c r="A680" s="22"/>
      <c r="B680" t="s">
        <v>18</v>
      </c>
      <c r="H680" s="1376"/>
      <c r="I680" s="1376"/>
      <c r="J680" s="1376"/>
      <c r="K680" s="1376"/>
      <c r="L680" s="1376"/>
      <c r="M680" s="1376"/>
      <c r="N680" s="1376"/>
      <c r="O680" s="1376"/>
      <c r="P680" s="1376"/>
      <c r="Q680" s="1376"/>
      <c r="R680" s="1376"/>
      <c r="T680" s="22"/>
      <c r="U680" t="s">
        <v>18</v>
      </c>
      <c r="AA680" s="1376"/>
      <c r="AB680" s="1376"/>
      <c r="AC680" s="1376"/>
      <c r="AD680" s="1376"/>
      <c r="AE680" s="1376"/>
      <c r="AF680" s="1376"/>
      <c r="AG680" s="1376"/>
      <c r="AH680" s="1376"/>
      <c r="AI680" s="1376"/>
      <c r="AJ680" s="1376"/>
      <c r="AK680" s="1376"/>
      <c r="AZ680" s="3"/>
    </row>
    <row r="681" spans="1:52" ht="12.95" customHeight="1">
      <c r="A681" s="22"/>
      <c r="B681" t="s">
        <v>20</v>
      </c>
      <c r="N681" s="1336" t="s">
        <v>670</v>
      </c>
      <c r="O681" s="1336"/>
      <c r="T681" s="22"/>
      <c r="U681" t="s">
        <v>20</v>
      </c>
      <c r="AG681" s="1336" t="s">
        <v>670</v>
      </c>
      <c r="AH681" s="1336"/>
      <c r="AZ681" s="3"/>
    </row>
    <row r="682" spans="1:52" ht="12.95" customHeight="1">
      <c r="A682" s="22"/>
      <c r="T682" s="22"/>
      <c r="AZ682" s="3"/>
    </row>
    <row r="683" spans="1:52" ht="12.95" customHeight="1">
      <c r="A683" s="55" t="s">
        <v>362</v>
      </c>
      <c r="B683" t="s">
        <v>464</v>
      </c>
      <c r="G683" s="1363">
        <f>C637</f>
        <v>0</v>
      </c>
      <c r="H683" s="1363"/>
      <c r="I683" s="1363"/>
      <c r="J683" s="1363"/>
      <c r="K683" s="1363"/>
      <c r="L683" s="1363"/>
      <c r="M683" s="1363"/>
      <c r="N683" s="1363"/>
      <c r="O683" s="1363"/>
      <c r="P683" s="1363"/>
      <c r="Q683" s="1363"/>
      <c r="R683" s="1363"/>
      <c r="T683" s="55" t="s">
        <v>363</v>
      </c>
      <c r="U683" t="s">
        <v>464</v>
      </c>
      <c r="Z683" s="1363">
        <f>C638</f>
        <v>0</v>
      </c>
      <c r="AA683" s="1363"/>
      <c r="AB683" s="1363"/>
      <c r="AC683" s="1363"/>
      <c r="AD683" s="1363"/>
      <c r="AE683" s="1363"/>
      <c r="AF683" s="1363"/>
      <c r="AG683" s="1363"/>
      <c r="AH683" s="1363"/>
      <c r="AI683" s="1363"/>
      <c r="AJ683" s="1363"/>
      <c r="AK683" s="1363"/>
      <c r="AZ683" s="3"/>
    </row>
    <row r="684" spans="1:52" ht="12.95" customHeight="1">
      <c r="B684" t="s">
        <v>85</v>
      </c>
      <c r="G684" s="1376"/>
      <c r="H684" s="1376"/>
      <c r="I684" s="1376"/>
      <c r="J684" s="1376"/>
      <c r="K684" s="1376"/>
      <c r="L684" s="1376"/>
      <c r="M684" s="1376"/>
      <c r="N684" s="1376"/>
      <c r="O684" s="1376"/>
      <c r="P684" s="1376"/>
      <c r="Q684" s="1376"/>
      <c r="R684" s="1376"/>
      <c r="T684" s="22"/>
      <c r="U684" t="s">
        <v>85</v>
      </c>
      <c r="Z684" s="1376"/>
      <c r="AA684" s="1376"/>
      <c r="AB684" s="1376"/>
      <c r="AC684" s="1376"/>
      <c r="AD684" s="1376"/>
      <c r="AE684" s="1376"/>
      <c r="AF684" s="1376"/>
      <c r="AG684" s="1376"/>
      <c r="AH684" s="1376"/>
      <c r="AI684" s="1376"/>
      <c r="AJ684" s="1376"/>
      <c r="AK684" s="1376"/>
      <c r="AZ684" s="3"/>
    </row>
    <row r="685" spans="1:52" ht="12.95" customHeight="1">
      <c r="B685" t="s">
        <v>581</v>
      </c>
      <c r="G685" s="1376"/>
      <c r="H685" s="1376"/>
      <c r="I685" s="1376"/>
      <c r="J685" s="1376"/>
      <c r="K685" s="1376"/>
      <c r="L685" s="1376"/>
      <c r="M685" s="1376"/>
      <c r="N685" s="1376"/>
      <c r="O685" s="1376"/>
      <c r="P685" s="1376"/>
      <c r="Q685" s="1376"/>
      <c r="R685" s="1376"/>
      <c r="U685" t="s">
        <v>581</v>
      </c>
      <c r="Z685" s="1353"/>
      <c r="AA685" s="1353"/>
      <c r="AB685" s="1353"/>
      <c r="AC685" s="1353"/>
      <c r="AD685" s="1353"/>
      <c r="AE685" s="1353"/>
      <c r="AF685" s="1353"/>
      <c r="AG685" s="1353"/>
      <c r="AH685" s="1353"/>
      <c r="AI685" s="1353"/>
      <c r="AJ685" s="1353"/>
      <c r="AK685" s="1353"/>
      <c r="AZ685" s="3"/>
    </row>
    <row r="686" spans="1:52" ht="12.95" customHeight="1">
      <c r="B686" t="s">
        <v>17</v>
      </c>
      <c r="G686" s="1376"/>
      <c r="H686" s="1376"/>
      <c r="I686" s="1376"/>
      <c r="J686" s="1376"/>
      <c r="K686" s="1376"/>
      <c r="L686" s="1376"/>
      <c r="M686" s="1376"/>
      <c r="N686" s="1376"/>
      <c r="O686" s="1376"/>
      <c r="P686" s="1376"/>
      <c r="Q686" s="1376"/>
      <c r="R686" s="1376"/>
      <c r="U686" t="s">
        <v>17</v>
      </c>
      <c r="Z686" s="1353"/>
      <c r="AA686" s="1353"/>
      <c r="AB686" s="1353"/>
      <c r="AC686" s="1353"/>
      <c r="AD686" s="1353"/>
      <c r="AE686" s="1353"/>
      <c r="AF686" s="1353"/>
      <c r="AG686" s="1353"/>
      <c r="AH686" s="1353"/>
      <c r="AI686" s="1353"/>
      <c r="AJ686" s="1353"/>
      <c r="AK686" s="1353"/>
      <c r="AZ686" s="3"/>
    </row>
    <row r="687" spans="1:52" ht="12.95" customHeight="1">
      <c r="B687" t="s">
        <v>316</v>
      </c>
      <c r="G687" s="1348"/>
      <c r="H687" s="1348"/>
      <c r="I687" s="1348"/>
      <c r="J687" s="1348"/>
      <c r="K687" s="1348"/>
      <c r="L687" s="1348"/>
      <c r="O687" s="33" t="s">
        <v>206</v>
      </c>
      <c r="P687" s="1441"/>
      <c r="Q687" s="1441"/>
      <c r="R687" s="1441"/>
      <c r="U687" t="s">
        <v>316</v>
      </c>
      <c r="Z687" s="1348"/>
      <c r="AA687" s="1348"/>
      <c r="AB687" s="1348"/>
      <c r="AC687" s="1348"/>
      <c r="AD687" s="1348"/>
      <c r="AE687" s="1348"/>
      <c r="AH687" s="33" t="s">
        <v>206</v>
      </c>
      <c r="AI687" s="1441"/>
      <c r="AJ687" s="1441"/>
      <c r="AK687" s="1441"/>
      <c r="AZ687" s="3"/>
    </row>
    <row r="688" spans="1:52" ht="12.95" customHeight="1">
      <c r="B688" t="s">
        <v>18</v>
      </c>
      <c r="H688" s="1376"/>
      <c r="I688" s="1376"/>
      <c r="J688" s="1376"/>
      <c r="K688" s="1376"/>
      <c r="L688" s="1376"/>
      <c r="M688" s="1376"/>
      <c r="N688" s="1376"/>
      <c r="O688" s="1376"/>
      <c r="P688" s="1376"/>
      <c r="Q688" s="1376"/>
      <c r="R688" s="1376"/>
      <c r="U688" t="s">
        <v>18</v>
      </c>
      <c r="AA688" s="1376"/>
      <c r="AB688" s="1376"/>
      <c r="AC688" s="1376"/>
      <c r="AD688" s="1376"/>
      <c r="AE688" s="1376"/>
      <c r="AF688" s="1376"/>
      <c r="AG688" s="1376"/>
      <c r="AH688" s="1376"/>
      <c r="AI688" s="1376"/>
      <c r="AJ688" s="1376"/>
      <c r="AK688" s="1376"/>
      <c r="AZ688" s="3"/>
    </row>
    <row r="689" spans="1:67" ht="12.95" customHeight="1">
      <c r="B689" t="s">
        <v>20</v>
      </c>
      <c r="N689" s="1336" t="s">
        <v>670</v>
      </c>
      <c r="O689" s="1336"/>
      <c r="U689" t="s">
        <v>20</v>
      </c>
      <c r="AG689" s="1336" t="s">
        <v>670</v>
      </c>
      <c r="AH689" s="1336"/>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6" t="s">
        <v>546</v>
      </c>
      <c r="AF693" s="1336"/>
      <c r="AZ693" s="3"/>
    </row>
    <row r="694" spans="1:67" ht="12.95" customHeight="1">
      <c r="B694" s="135"/>
      <c r="C694" s="135"/>
      <c r="D694" s="136" t="s">
        <v>438</v>
      </c>
      <c r="E694" s="135"/>
      <c r="F694" s="135"/>
      <c r="G694" s="135"/>
      <c r="H694" s="135"/>
      <c r="AE694" s="1336" t="s">
        <v>546</v>
      </c>
      <c r="AF694" s="1336"/>
      <c r="AZ694" s="3"/>
    </row>
    <row r="695" spans="1:67" ht="12.95" customHeight="1">
      <c r="B695" s="135"/>
      <c r="C695" s="135"/>
      <c r="D695" s="136" t="s">
        <v>921</v>
      </c>
      <c r="E695" s="135"/>
      <c r="F695" s="135"/>
      <c r="G695" s="135"/>
      <c r="H695" s="135"/>
      <c r="AE695" s="1706">
        <v>45797</v>
      </c>
      <c r="AF695" s="1706"/>
      <c r="AG695" s="1706"/>
      <c r="AH695" s="1706"/>
      <c r="AI695" s="1706"/>
    </row>
    <row r="696" spans="1:67" ht="12.95" customHeight="1">
      <c r="B696" s="135"/>
      <c r="C696" s="135"/>
      <c r="D696" s="316" t="s">
        <v>984</v>
      </c>
      <c r="E696" s="135"/>
      <c r="F696" s="135"/>
      <c r="G696" s="135"/>
      <c r="H696" s="135"/>
      <c r="AE696" s="1713">
        <v>45867</v>
      </c>
      <c r="AF696" s="1713"/>
      <c r="AG696" s="1713"/>
      <c r="AH696" s="1713"/>
      <c r="AI696" s="1713"/>
    </row>
    <row r="697" spans="1:67" ht="12.95" customHeight="1">
      <c r="B697" s="135"/>
      <c r="C697" s="135"/>
    </row>
    <row r="698" spans="1:67" ht="12.95" customHeight="1">
      <c r="B698" s="135"/>
      <c r="C698" s="135"/>
      <c r="D698" s="136" t="s">
        <v>817</v>
      </c>
      <c r="E698" s="135"/>
      <c r="F698" s="135"/>
      <c r="G698" s="135"/>
      <c r="H698" s="135"/>
      <c r="AE698" s="1706">
        <v>46047</v>
      </c>
      <c r="AF698" s="1706"/>
      <c r="AG698" s="1706"/>
      <c r="AH698" s="1706"/>
      <c r="AI698" s="1706"/>
    </row>
    <row r="699" spans="1:67" ht="12.95" customHeight="1">
      <c r="B699" s="135"/>
      <c r="C699" s="135"/>
      <c r="D699" s="136" t="s">
        <v>436</v>
      </c>
      <c r="E699" s="135"/>
      <c r="F699" s="135"/>
      <c r="G699" s="135"/>
      <c r="H699" s="135"/>
      <c r="AE699" s="1676">
        <v>0.55000000000000004</v>
      </c>
      <c r="AF699" s="1676"/>
      <c r="AG699" s="1676"/>
      <c r="AH699" s="1676"/>
      <c r="AI699" s="1676"/>
    </row>
    <row r="700" spans="1:67" ht="12.95" customHeight="1">
      <c r="B700" s="135"/>
      <c r="C700" s="135"/>
      <c r="D700" s="136" t="s">
        <v>437</v>
      </c>
      <c r="E700" s="135"/>
      <c r="F700" s="135"/>
      <c r="G700" s="135"/>
      <c r="H700" s="135"/>
      <c r="W700" s="1363" t="str">
        <f>H335</f>
        <v>Los Angeles County Development Authority</v>
      </c>
      <c r="X700" s="1363"/>
      <c r="Y700" s="1363"/>
      <c r="Z700" s="1363"/>
      <c r="AA700" s="1363"/>
      <c r="AB700" s="1363"/>
      <c r="AC700" s="1363"/>
      <c r="AD700" s="1363"/>
      <c r="AE700" s="1363"/>
      <c r="AF700" s="1363"/>
      <c r="AG700" s="1363"/>
      <c r="AH700" s="1363"/>
      <c r="AI700" s="1363"/>
      <c r="AJ700" s="1363"/>
      <c r="AK700" s="136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6" t="s">
        <v>670</v>
      </c>
      <c r="AF702" s="1336"/>
      <c r="AZ702" s="4" t="s">
        <v>324</v>
      </c>
    </row>
    <row r="703" spans="1:67" ht="12.95" customHeight="1">
      <c r="B703" s="135"/>
      <c r="C703" s="135"/>
      <c r="D703" s="136" t="s">
        <v>443</v>
      </c>
      <c r="E703" s="135"/>
      <c r="F703" s="135"/>
      <c r="G703" s="135"/>
      <c r="H703" s="135"/>
      <c r="W703" s="1376" t="s">
        <v>592</v>
      </c>
      <c r="X703" s="1376"/>
      <c r="Y703" s="1376"/>
      <c r="Z703" s="1376"/>
      <c r="AA703" s="1376"/>
      <c r="AB703" s="1376"/>
      <c r="AC703" s="1376"/>
      <c r="AD703" s="1376"/>
      <c r="AE703" s="1376"/>
      <c r="AF703" s="1376"/>
      <c r="AG703" s="1376"/>
      <c r="AH703" s="1376"/>
      <c r="AI703" s="1376"/>
      <c r="AJ703" s="1376"/>
      <c r="AK703" s="1376"/>
      <c r="AZ703" s="4" t="s">
        <v>325</v>
      </c>
    </row>
    <row r="704" spans="1:67" ht="12.95" customHeight="1">
      <c r="B704" s="135"/>
      <c r="C704" s="135"/>
      <c r="D704" s="136" t="s">
        <v>87</v>
      </c>
      <c r="E704" s="135"/>
      <c r="F704" s="135"/>
      <c r="G704" s="135"/>
      <c r="H704" s="135"/>
      <c r="J704" s="1376" t="s">
        <v>592</v>
      </c>
      <c r="K704" s="1376"/>
      <c r="L704" s="1376"/>
      <c r="M704" s="1376"/>
      <c r="N704" s="1376"/>
      <c r="O704" s="1376"/>
      <c r="P704" s="1376"/>
      <c r="Q704" s="1376"/>
      <c r="R704" s="1376"/>
      <c r="S704" s="1376"/>
      <c r="T704" s="1376"/>
      <c r="U704" s="1376"/>
      <c r="V704" s="1376"/>
      <c r="W704" s="1376"/>
      <c r="X704" s="1376"/>
      <c r="AZ704" s="4" t="s">
        <v>163</v>
      </c>
      <c r="BB704" s="34"/>
      <c r="BC704" s="34"/>
      <c r="BD704" s="34"/>
      <c r="BE704" s="3"/>
      <c r="BF704" s="3"/>
      <c r="BJ704" s="3"/>
      <c r="BK704" s="3"/>
      <c r="BL704" s="3"/>
      <c r="BM704" s="3"/>
      <c r="BN704" s="34"/>
      <c r="BO704" s="34"/>
    </row>
    <row r="705" spans="1:185" ht="12.95" customHeight="1">
      <c r="B705" s="135"/>
      <c r="C705" s="135"/>
      <c r="D705" s="136" t="s">
        <v>88</v>
      </c>
      <c r="J705" s="1347" t="s">
        <v>592</v>
      </c>
      <c r="K705" s="1348"/>
      <c r="L705" s="1348"/>
      <c r="M705" s="1348"/>
      <c r="N705" s="1348"/>
      <c r="O705" s="1348"/>
      <c r="P705" s="4" t="s">
        <v>206</v>
      </c>
      <c r="Q705" s="4"/>
      <c r="R705" s="1473" t="s">
        <v>592</v>
      </c>
      <c r="S705" s="1441"/>
      <c r="T705" s="144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6" t="s">
        <v>307</v>
      </c>
      <c r="X706" s="1376"/>
      <c r="Y706" s="1376"/>
      <c r="Z706" s="1376"/>
      <c r="AA706" s="1376"/>
      <c r="AB706" s="1376"/>
      <c r="AC706" s="1376"/>
      <c r="AD706" s="1376"/>
      <c r="AE706" s="1376"/>
      <c r="AF706" s="1376"/>
      <c r="AG706" s="1376"/>
      <c r="AH706" s="1376"/>
      <c r="AI706" s="1376"/>
      <c r="AJ706" s="1376"/>
      <c r="AK706" s="1376"/>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6" t="s">
        <v>592</v>
      </c>
      <c r="F707" s="1376"/>
      <c r="G707" s="1376"/>
      <c r="H707" s="1376"/>
      <c r="I707" s="1376"/>
      <c r="J707" s="1376"/>
      <c r="K707" s="1376"/>
      <c r="L707" s="1376"/>
      <c r="M707" s="1376"/>
      <c r="N707" s="1376"/>
      <c r="O707" s="1376"/>
      <c r="P707" s="1376"/>
      <c r="Q707" s="1376"/>
      <c r="R707" s="1376"/>
      <c r="S707" s="1376"/>
      <c r="T707" s="1376"/>
      <c r="U707" s="1376"/>
      <c r="V707" s="1376"/>
      <c r="W707" s="1376"/>
      <c r="X707" s="1376"/>
      <c r="Y707" s="1376"/>
      <c r="Z707" s="1376"/>
      <c r="AA707" s="1376"/>
      <c r="AB707" s="1376"/>
      <c r="AC707" s="1376"/>
      <c r="AD707" s="1376"/>
      <c r="AE707" s="1376"/>
      <c r="AF707" s="1376"/>
      <c r="AG707" s="1376"/>
      <c r="AH707" s="1376"/>
      <c r="AI707" s="1376"/>
      <c r="AJ707" s="1376"/>
      <c r="AK707" s="1376"/>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1"/>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7" t="s">
        <v>389</v>
      </c>
      <c r="C714" s="1368"/>
      <c r="D714" s="1368"/>
      <c r="E714" s="1368"/>
      <c r="F714" s="1369"/>
      <c r="G714" s="1367" t="s">
        <v>285</v>
      </c>
      <c r="H714" s="1368"/>
      <c r="I714" s="1368"/>
      <c r="J714" s="1369"/>
      <c r="K714" s="1707" t="s">
        <v>1680</v>
      </c>
      <c r="L714" s="1708"/>
      <c r="M714" s="1708"/>
      <c r="N714" s="1709"/>
      <c r="O714" s="1367" t="s">
        <v>448</v>
      </c>
      <c r="P714" s="1368"/>
      <c r="Q714" s="1368"/>
      <c r="R714" s="1368"/>
      <c r="S714" s="1369"/>
      <c r="T714" s="1674" t="s">
        <v>1951</v>
      </c>
      <c r="U714" s="1368"/>
      <c r="V714" s="1368"/>
      <c r="W714" s="1369"/>
      <c r="X714" s="1674" t="s">
        <v>1953</v>
      </c>
      <c r="Y714" s="1368"/>
      <c r="Z714" s="1368"/>
      <c r="AA714" s="1368"/>
      <c r="AB714" s="1369"/>
      <c r="AC714" s="1674" t="s">
        <v>1952</v>
      </c>
      <c r="AD714" s="1368"/>
      <c r="AE714" s="1368"/>
      <c r="AF714" s="1368"/>
      <c r="AG714" s="1369"/>
      <c r="AH714" s="1674" t="s">
        <v>1954</v>
      </c>
      <c r="AI714" s="1368"/>
      <c r="AJ714" s="1369"/>
      <c r="AK714" s="1674" t="s">
        <v>1981</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70"/>
      <c r="C715" s="1371"/>
      <c r="D715" s="1371"/>
      <c r="E715" s="1371"/>
      <c r="F715" s="1372"/>
      <c r="G715" s="1370"/>
      <c r="H715" s="1371"/>
      <c r="I715" s="1371"/>
      <c r="J715" s="1372"/>
      <c r="K715" s="1710"/>
      <c r="L715" s="1711"/>
      <c r="M715" s="1711"/>
      <c r="N715" s="1712"/>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70"/>
      <c r="C716" s="1371"/>
      <c r="D716" s="1371"/>
      <c r="E716" s="1371"/>
      <c r="F716" s="1372"/>
      <c r="G716" s="1370"/>
      <c r="H716" s="1371"/>
      <c r="I716" s="1371"/>
      <c r="J716" s="1372"/>
      <c r="K716" s="1710"/>
      <c r="L716" s="1711"/>
      <c r="M716" s="1711"/>
      <c r="N716" s="1712"/>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3"/>
      <c r="C717" s="1374"/>
      <c r="D717" s="1374"/>
      <c r="E717" s="1374"/>
      <c r="F717" s="1375"/>
      <c r="G717" s="1373"/>
      <c r="H717" s="1374"/>
      <c r="I717" s="1374"/>
      <c r="J717" s="1375"/>
      <c r="K717" s="1710"/>
      <c r="L717" s="1711"/>
      <c r="M717" s="1711"/>
      <c r="N717" s="1712"/>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166" t="s">
        <v>650</v>
      </c>
      <c r="BA717" s="3"/>
      <c r="BB717" s="3"/>
      <c r="BC717" s="3"/>
      <c r="BD717" s="3"/>
      <c r="BE717" s="204"/>
      <c r="BF717" s="290" t="s">
        <v>897</v>
      </c>
      <c r="BG717" s="295" t="s">
        <v>898</v>
      </c>
      <c r="BH717" s="294" t="s">
        <v>899</v>
      </c>
      <c r="BI717" s="3"/>
      <c r="BJ717" s="3"/>
      <c r="BK717" s="3"/>
      <c r="BL717" s="3"/>
      <c r="BM717" s="3"/>
      <c r="BN717" s="3"/>
      <c r="BS717" s="290" t="s">
        <v>897</v>
      </c>
      <c r="BT717" s="295" t="s">
        <v>898</v>
      </c>
      <c r="BU717" s="294" t="s">
        <v>899</v>
      </c>
      <c r="CC717" s="3"/>
      <c r="CD717" s="3"/>
      <c r="CE717" s="3"/>
      <c r="CF717" s="3"/>
      <c r="CG717" s="121" t="s">
        <v>475</v>
      </c>
      <c r="CH717" s="122"/>
      <c r="CI717" s="1488"/>
      <c r="CJ717" s="1489"/>
      <c r="CK717" s="121" t="s">
        <v>476</v>
      </c>
      <c r="CL717" s="122"/>
      <c r="CM717" s="1488"/>
      <c r="CN717" s="1489"/>
      <c r="CO717" s="3"/>
      <c r="CP717" s="1391" t="s">
        <v>634</v>
      </c>
      <c r="CQ717" s="1392"/>
      <c r="CR717" s="1392"/>
      <c r="CS717" s="1392"/>
      <c r="CT717" s="1393"/>
      <c r="CU717" s="1475" t="s">
        <v>325</v>
      </c>
      <c r="CV717" s="1475"/>
      <c r="CW717" s="1475"/>
      <c r="CX717" s="1475"/>
      <c r="CY717" s="1475"/>
      <c r="CZ717" s="1475" t="s">
        <v>163</v>
      </c>
      <c r="DA717" s="1475"/>
      <c r="DB717" s="1475"/>
      <c r="DC717" s="1475"/>
      <c r="DD717" s="1475"/>
      <c r="DE717" s="1475" t="s">
        <v>164</v>
      </c>
      <c r="DF717" s="1475"/>
      <c r="DG717" s="1475"/>
      <c r="DH717" s="1475"/>
      <c r="DI717" s="1475"/>
      <c r="DJ717" s="1475" t="s">
        <v>461</v>
      </c>
      <c r="DK717" s="1475"/>
      <c r="DL717" s="1475"/>
      <c r="DM717" s="1475"/>
      <c r="DN717" s="1475"/>
      <c r="DO717" s="1475" t="s">
        <v>30</v>
      </c>
      <c r="DP717" s="1475"/>
      <c r="DQ717" s="1475"/>
      <c r="DR717" s="1475"/>
      <c r="DS717" s="1475"/>
      <c r="DT717" s="89"/>
      <c r="DU717" s="1475" t="s">
        <v>634</v>
      </c>
      <c r="DV717" s="1475"/>
      <c r="DW717" s="1475"/>
      <c r="DX717" s="1475"/>
      <c r="DY717" s="1475"/>
      <c r="DZ717" s="1475" t="s">
        <v>325</v>
      </c>
      <c r="EA717" s="1475"/>
      <c r="EB717" s="1475"/>
      <c r="EC717" s="1475"/>
      <c r="ED717" s="1475"/>
      <c r="EE717" s="1475" t="s">
        <v>163</v>
      </c>
      <c r="EF717" s="1475"/>
      <c r="EG717" s="1475"/>
      <c r="EH717" s="1475"/>
      <c r="EI717" s="1475"/>
      <c r="EJ717" s="1475" t="s">
        <v>164</v>
      </c>
      <c r="EK717" s="1475"/>
      <c r="EL717" s="1475"/>
      <c r="EM717" s="1475"/>
      <c r="EN717" s="1475"/>
      <c r="EO717" s="1475" t="s">
        <v>461</v>
      </c>
      <c r="EP717" s="1475"/>
      <c r="EQ717" s="1475"/>
      <c r="ER717" s="1475"/>
      <c r="ES717" s="1475"/>
      <c r="ET717" s="1475" t="s">
        <v>30</v>
      </c>
      <c r="EU717" s="1475"/>
      <c r="EV717" s="1475"/>
      <c r="EW717" s="1475"/>
      <c r="EX717" s="1475"/>
      <c r="EY717" s="4"/>
      <c r="EZ717" s="1475" t="s">
        <v>634</v>
      </c>
      <c r="FA717" s="1475"/>
      <c r="FB717" s="1475"/>
      <c r="FC717" s="1475"/>
      <c r="FD717" s="1475"/>
      <c r="FE717" s="1475" t="s">
        <v>325</v>
      </c>
      <c r="FF717" s="1475"/>
      <c r="FG717" s="1475"/>
      <c r="FH717" s="1475"/>
      <c r="FI717" s="1475"/>
      <c r="FJ717" s="1475" t="s">
        <v>163</v>
      </c>
      <c r="FK717" s="1475"/>
      <c r="FL717" s="1475"/>
      <c r="FM717" s="1475"/>
      <c r="FN717" s="1475"/>
      <c r="FO717" s="1475" t="s">
        <v>164</v>
      </c>
      <c r="FP717" s="1475"/>
      <c r="FQ717" s="1475"/>
      <c r="FR717" s="1475"/>
      <c r="FS717" s="1475"/>
      <c r="FT717" s="1475" t="s">
        <v>461</v>
      </c>
      <c r="FU717" s="1475"/>
      <c r="FV717" s="1475"/>
      <c r="FW717" s="1475"/>
      <c r="FX717" s="1475"/>
      <c r="FY717" s="1475" t="s">
        <v>30</v>
      </c>
      <c r="FZ717" s="1475"/>
      <c r="GA717" s="1475"/>
      <c r="GB717" s="1475"/>
      <c r="GC717" s="1475"/>
    </row>
    <row r="718" spans="1:185" ht="12.95" customHeight="1">
      <c r="A718" s="4"/>
      <c r="B718" s="1350" t="s">
        <v>324</v>
      </c>
      <c r="C718" s="1351"/>
      <c r="D718" s="1351"/>
      <c r="E718" s="1351"/>
      <c r="F718" s="1352"/>
      <c r="G718" s="1354">
        <v>60</v>
      </c>
      <c r="H718" s="1355"/>
      <c r="I718" s="1355"/>
      <c r="J718" s="1356"/>
      <c r="K718" s="1344">
        <v>390</v>
      </c>
      <c r="L718" s="1345"/>
      <c r="M718" s="1345"/>
      <c r="N718" s="1346"/>
      <c r="O718" s="1341">
        <f>795-T718</f>
        <v>721</v>
      </c>
      <c r="P718" s="1342"/>
      <c r="Q718" s="1342"/>
      <c r="R718" s="1342"/>
      <c r="S718" s="1343"/>
      <c r="T718" s="1341">
        <v>74</v>
      </c>
      <c r="U718" s="1342"/>
      <c r="V718" s="1342"/>
      <c r="W718" s="1343"/>
      <c r="X718" s="1357">
        <f t="shared" ref="X718:X741" si="8">O718+T718</f>
        <v>795</v>
      </c>
      <c r="Y718" s="1358"/>
      <c r="Z718" s="1358"/>
      <c r="AA718" s="1358"/>
      <c r="AB718" s="1359"/>
      <c r="AC718" s="1364">
        <v>0.3</v>
      </c>
      <c r="AD718" s="1365"/>
      <c r="AE718" s="1365"/>
      <c r="AF718" s="1365"/>
      <c r="AG718" s="1366"/>
      <c r="AH718" s="1360">
        <f>IF($AC718&gt;0,($X718/$AZ718), "")</f>
        <v>0.3</v>
      </c>
      <c r="AI718" s="1361"/>
      <c r="AJ718" s="1362"/>
      <c r="AK718" s="1350" t="s">
        <v>2101</v>
      </c>
      <c r="AL718" s="1351"/>
      <c r="AM718" s="1351"/>
      <c r="AN718" s="1351"/>
      <c r="AO718" s="1352"/>
      <c r="AP718" s="3"/>
      <c r="AQ718" s="3"/>
      <c r="AR718" s="3"/>
      <c r="AS718" s="3"/>
      <c r="AZ718" s="118">
        <f t="shared" ref="AZ718:AZ752" si="9">IF($G718=0,"N/A",VLOOKUP($T$189,TC_Rent,(MATCH($B718,bedrooms,FALSE)),FALSE))</f>
        <v>2650</v>
      </c>
      <c r="BA718" s="3"/>
      <c r="BB718" s="3"/>
      <c r="BC718" s="3"/>
      <c r="BD718" s="3"/>
      <c r="BE718" s="204"/>
      <c r="BF718" s="292">
        <f t="shared" ref="BF718:BF752" si="10">G718</f>
        <v>60</v>
      </c>
      <c r="BG718" s="296">
        <f t="shared" ref="BG718:BG752" si="11">IF($BF$753=0,0,BF718/$BF$753)</f>
        <v>0.40268456375838924</v>
      </c>
      <c r="BH718" s="297">
        <f t="shared" ref="BH718:BH752" si="12">IF(BG718=0,"",BG718*AC718)</f>
        <v>0.12080536912751677</v>
      </c>
      <c r="BI718" s="3"/>
      <c r="BJ718" s="3"/>
      <c r="BK718" s="3"/>
      <c r="BL718" s="3"/>
      <c r="BM718" s="3"/>
      <c r="BN718" s="3"/>
      <c r="BS718" s="292">
        <f t="shared" ref="BS718:BS752" si="13">G718</f>
        <v>60</v>
      </c>
      <c r="BT718" s="296">
        <f t="shared" ref="BT718:BT752" si="14">IF($BS$753=0,0,BS718/$BS$753)</f>
        <v>0.40268456375838924</v>
      </c>
      <c r="BU718" s="297">
        <f t="shared" ref="BU718:BU752" si="15">IF(BT718=0,"",BT718*AH718)</f>
        <v>0.12080536912751677</v>
      </c>
      <c r="CC718" s="3"/>
      <c r="CD718" s="3"/>
      <c r="CE718" s="3"/>
      <c r="CF718" s="3"/>
      <c r="CG718" s="1490">
        <f>IF(AND(AC718&lt;=0.5,AC718&gt;=0.36),1,0)</f>
        <v>0</v>
      </c>
      <c r="CH718" s="1491"/>
      <c r="CI718" s="1488">
        <f>IF(CG718=1,G718,0)</f>
        <v>0</v>
      </c>
      <c r="CJ718" s="1489"/>
      <c r="CK718" s="1490">
        <f t="shared" ref="CK718:CK752" si="16">IF(AND(AC718&lt;=0.35,AC718&gt;0),1,0)</f>
        <v>1</v>
      </c>
      <c r="CL718" s="1491"/>
      <c r="CM718" s="1488">
        <f t="shared" ref="CM718:CM752" si="17">IF(CK718=1,G718,0)</f>
        <v>60</v>
      </c>
      <c r="CN718" s="1489"/>
      <c r="CO718" s="3"/>
      <c r="CP718" s="1482">
        <f t="shared" ref="CP718:CP752" si="18">IF(B718="SRO/Studio",G718,0)</f>
        <v>60</v>
      </c>
      <c r="CQ718" s="1483"/>
      <c r="CR718" s="1483"/>
      <c r="CS718" s="1483"/>
      <c r="CT718" s="1484"/>
      <c r="CU718" s="1486">
        <f t="shared" ref="CU718:CU752" si="19">IF(B718="1 Bedroom",G718,0)</f>
        <v>0</v>
      </c>
      <c r="CV718" s="1486"/>
      <c r="CW718" s="1486"/>
      <c r="CX718" s="1486"/>
      <c r="CY718" s="1486"/>
      <c r="CZ718" s="1486">
        <f t="shared" ref="CZ718:CZ752" si="20">IF(B718="2 Bedrooms",G718,0)</f>
        <v>0</v>
      </c>
      <c r="DA718" s="1486"/>
      <c r="DB718" s="1486"/>
      <c r="DC718" s="1486"/>
      <c r="DD718" s="1486"/>
      <c r="DE718" s="1486">
        <f t="shared" ref="DE718:DE752" si="21">IF(B718="3 Bedrooms",G718,0)</f>
        <v>0</v>
      </c>
      <c r="DF718" s="1486"/>
      <c r="DG718" s="1486"/>
      <c r="DH718" s="1486"/>
      <c r="DI718" s="1486"/>
      <c r="DJ718" s="1486">
        <f t="shared" ref="DJ718:DJ752" si="22">IF(B718="4 Bedrooms",G718,0)</f>
        <v>0</v>
      </c>
      <c r="DK718" s="1486"/>
      <c r="DL718" s="1486"/>
      <c r="DM718" s="1486"/>
      <c r="DN718" s="1486"/>
      <c r="DO718" s="1486">
        <f t="shared" ref="DO718:DO752" si="23">IF(B718="5 Bedrooms",G718,0)</f>
        <v>0</v>
      </c>
      <c r="DP718" s="1486"/>
      <c r="DQ718" s="1486"/>
      <c r="DR718" s="1486"/>
      <c r="DS718" s="1486"/>
      <c r="DT718" s="6"/>
      <c r="DU718" s="1487">
        <f t="shared" ref="DU718:DU752" si="24">IF(AND(B718="SRO/Studio",AC718&lt;=0.3),G718,0)</f>
        <v>60</v>
      </c>
      <c r="DV718" s="1487"/>
      <c r="DW718" s="1487"/>
      <c r="DX718" s="1487"/>
      <c r="DY718" s="1487"/>
      <c r="DZ718" s="1487">
        <f t="shared" ref="DZ718:DZ752" si="25">IF(AND(B718="1 Bedroom",AC718&lt;=0.3),G718,0)</f>
        <v>0</v>
      </c>
      <c r="EA718" s="1487"/>
      <c r="EB718" s="1487"/>
      <c r="EC718" s="1487"/>
      <c r="ED718" s="1487"/>
      <c r="EE718" s="1487">
        <f t="shared" ref="EE718:EE752" si="26">IF(AND(B718="2 Bedrooms",AC718&lt;=0.3),G718,0)</f>
        <v>0</v>
      </c>
      <c r="EF718" s="1487"/>
      <c r="EG718" s="1487"/>
      <c r="EH718" s="1487"/>
      <c r="EI718" s="1487"/>
      <c r="EJ718" s="1487">
        <f t="shared" ref="EJ718:EJ752" si="27">IF(AND(B718="3 Bedrooms",AC718&lt;=0.3),G718,0)</f>
        <v>0</v>
      </c>
      <c r="EK718" s="1487"/>
      <c r="EL718" s="1487"/>
      <c r="EM718" s="1487"/>
      <c r="EN718" s="1487"/>
      <c r="EO718" s="1487">
        <f t="shared" ref="EO718:EO752" si="28">IF(AND(B718="4 Bedrooms",AC718&lt;=0.3),G718,0)</f>
        <v>0</v>
      </c>
      <c r="EP718" s="1487"/>
      <c r="EQ718" s="1487"/>
      <c r="ER718" s="1487"/>
      <c r="ES718" s="1487"/>
      <c r="ET718" s="1487">
        <f t="shared" ref="ET718:ET752" si="29">IF(AND(B718="5 Bedrooms",AC718&lt;=0.3),G718,0)</f>
        <v>0</v>
      </c>
      <c r="EU718" s="1487"/>
      <c r="EV718" s="1487"/>
      <c r="EW718" s="1487"/>
      <c r="EX718" s="1487"/>
      <c r="EY718" s="4"/>
      <c r="EZ718" s="1490">
        <f t="shared" ref="EZ718:EZ752" si="30">IF(CP718&gt;0,O718,"")</f>
        <v>721</v>
      </c>
      <c r="FA718" s="1492"/>
      <c r="FB718" s="1492"/>
      <c r="FC718" s="1492"/>
      <c r="FD718" s="1491"/>
      <c r="FE718" s="1490" t="str">
        <f t="shared" ref="FE718:FE752" si="31">IF(CU718&gt;0,O718,"")</f>
        <v/>
      </c>
      <c r="FF718" s="1492"/>
      <c r="FG718" s="1492"/>
      <c r="FH718" s="1492"/>
      <c r="FI718" s="1491"/>
      <c r="FJ718" s="1490" t="str">
        <f t="shared" ref="FJ718:FJ752" si="32">IF(CZ718&gt;0,O718,"")</f>
        <v/>
      </c>
      <c r="FK718" s="1492"/>
      <c r="FL718" s="1492"/>
      <c r="FM718" s="1492"/>
      <c r="FN718" s="1491"/>
      <c r="FO718" s="1490" t="str">
        <f t="shared" ref="FO718:FO752" si="33">IF(DE718&gt;0,O718,"")</f>
        <v/>
      </c>
      <c r="FP718" s="1492"/>
      <c r="FQ718" s="1492"/>
      <c r="FR718" s="1492"/>
      <c r="FS718" s="1491"/>
      <c r="FT718" s="1490" t="str">
        <f t="shared" ref="FT718:FT752" si="34">IF(DJ718&gt;0,O718,"")</f>
        <v/>
      </c>
      <c r="FU718" s="1492"/>
      <c r="FV718" s="1492"/>
      <c r="FW718" s="1492"/>
      <c r="FX718" s="1491"/>
      <c r="FY718" s="1490" t="str">
        <f t="shared" ref="FY718:FY752" si="35">IF(DO718&gt;0,O718,"")</f>
        <v/>
      </c>
      <c r="FZ718" s="1492"/>
      <c r="GA718" s="1492"/>
      <c r="GB718" s="1492"/>
      <c r="GC718" s="1491"/>
    </row>
    <row r="719" spans="1:185" ht="12.95" customHeight="1">
      <c r="A719" s="4"/>
      <c r="B719" s="1350" t="s">
        <v>325</v>
      </c>
      <c r="C719" s="1351"/>
      <c r="D719" s="1351"/>
      <c r="E719" s="1351"/>
      <c r="F719" s="1352"/>
      <c r="G719" s="1354">
        <v>15</v>
      </c>
      <c r="H719" s="1355"/>
      <c r="I719" s="1355"/>
      <c r="J719" s="1356"/>
      <c r="K719" s="1344">
        <v>630</v>
      </c>
      <c r="L719" s="1345"/>
      <c r="M719" s="1345"/>
      <c r="N719" s="1346"/>
      <c r="O719" s="1341">
        <f>852-T719</f>
        <v>755</v>
      </c>
      <c r="P719" s="1342"/>
      <c r="Q719" s="1342"/>
      <c r="R719" s="1342"/>
      <c r="S719" s="1343"/>
      <c r="T719" s="1341">
        <v>97</v>
      </c>
      <c r="U719" s="1342"/>
      <c r="V719" s="1342"/>
      <c r="W719" s="1343"/>
      <c r="X719" s="1357">
        <f t="shared" si="8"/>
        <v>852</v>
      </c>
      <c r="Y719" s="1358"/>
      <c r="Z719" s="1358"/>
      <c r="AA719" s="1358"/>
      <c r="AB719" s="1359"/>
      <c r="AC719" s="1364">
        <v>0.3</v>
      </c>
      <c r="AD719" s="1365"/>
      <c r="AE719" s="1365"/>
      <c r="AF719" s="1365"/>
      <c r="AG719" s="1366"/>
      <c r="AH719" s="1360">
        <f t="shared" ref="AH719:AH752" si="36">IF($AC719&gt;0,($X719/$AZ719), "")</f>
        <v>0.3</v>
      </c>
      <c r="AI719" s="1361"/>
      <c r="AJ719" s="1362"/>
      <c r="AK719" s="1350" t="s">
        <v>2101</v>
      </c>
      <c r="AL719" s="1351"/>
      <c r="AM719" s="1351"/>
      <c r="AN719" s="1351"/>
      <c r="AO719" s="1352"/>
      <c r="AP719" s="3"/>
      <c r="AQ719" s="3"/>
      <c r="AR719" s="3"/>
      <c r="AS719" s="3"/>
      <c r="AZ719" s="118">
        <f t="shared" si="9"/>
        <v>2840</v>
      </c>
      <c r="BA719" s="3"/>
      <c r="BB719" s="3"/>
      <c r="BC719" s="3"/>
      <c r="BD719" s="3"/>
      <c r="BE719" s="204"/>
      <c r="BF719" s="293">
        <f t="shared" si="10"/>
        <v>15</v>
      </c>
      <c r="BG719" s="296">
        <f t="shared" si="11"/>
        <v>0.10067114093959731</v>
      </c>
      <c r="BH719" s="297">
        <f t="shared" si="12"/>
        <v>3.0201342281879193E-2</v>
      </c>
      <c r="BI719" s="3"/>
      <c r="BJ719" s="3"/>
      <c r="BK719" s="3"/>
      <c r="BL719" s="3"/>
      <c r="BM719" s="3"/>
      <c r="BN719" s="3"/>
      <c r="BS719" s="293">
        <f t="shared" si="13"/>
        <v>15</v>
      </c>
      <c r="BT719" s="296">
        <f t="shared" si="14"/>
        <v>0.10067114093959731</v>
      </c>
      <c r="BU719" s="297">
        <f t="shared" si="15"/>
        <v>3.0201342281879193E-2</v>
      </c>
      <c r="CC719" s="3"/>
      <c r="CD719" s="3"/>
      <c r="CE719" s="3"/>
      <c r="CF719" s="3"/>
      <c r="CG719" s="1490">
        <f t="shared" ref="CG719:CG752" si="37">IF(AND(AC719&lt;=0.5,AC719&gt;=0.36),1,0)</f>
        <v>0</v>
      </c>
      <c r="CH719" s="1491"/>
      <c r="CI719" s="1488">
        <f t="shared" ref="CI719:CI752" si="38">IF(CG719=1,G719,0)</f>
        <v>0</v>
      </c>
      <c r="CJ719" s="1489"/>
      <c r="CK719" s="1490">
        <f t="shared" si="16"/>
        <v>1</v>
      </c>
      <c r="CL719" s="1491"/>
      <c r="CM719" s="1488">
        <f t="shared" si="17"/>
        <v>15</v>
      </c>
      <c r="CN719" s="1489"/>
      <c r="CO719" s="3"/>
      <c r="CP719" s="1482">
        <f t="shared" si="18"/>
        <v>0</v>
      </c>
      <c r="CQ719" s="1483"/>
      <c r="CR719" s="1483"/>
      <c r="CS719" s="1483"/>
      <c r="CT719" s="1484"/>
      <c r="CU719" s="1486">
        <f t="shared" si="19"/>
        <v>15</v>
      </c>
      <c r="CV719" s="1486"/>
      <c r="CW719" s="1486"/>
      <c r="CX719" s="1486"/>
      <c r="CY719" s="1486"/>
      <c r="CZ719" s="1486">
        <f t="shared" si="20"/>
        <v>0</v>
      </c>
      <c r="DA719" s="1486"/>
      <c r="DB719" s="1486"/>
      <c r="DC719" s="1486"/>
      <c r="DD719" s="1486"/>
      <c r="DE719" s="1486">
        <f t="shared" si="21"/>
        <v>0</v>
      </c>
      <c r="DF719" s="1486"/>
      <c r="DG719" s="1486"/>
      <c r="DH719" s="1486"/>
      <c r="DI719" s="1486"/>
      <c r="DJ719" s="1486">
        <f t="shared" si="22"/>
        <v>0</v>
      </c>
      <c r="DK719" s="1486"/>
      <c r="DL719" s="1486"/>
      <c r="DM719" s="1486"/>
      <c r="DN719" s="1486"/>
      <c r="DO719" s="1486">
        <f t="shared" si="23"/>
        <v>0</v>
      </c>
      <c r="DP719" s="1486"/>
      <c r="DQ719" s="1486"/>
      <c r="DR719" s="1486"/>
      <c r="DS719" s="1486"/>
      <c r="DT719" s="6"/>
      <c r="DU719" s="1487">
        <f t="shared" si="24"/>
        <v>0</v>
      </c>
      <c r="DV719" s="1487"/>
      <c r="DW719" s="1487"/>
      <c r="DX719" s="1487"/>
      <c r="DY719" s="1487"/>
      <c r="DZ719" s="1487">
        <f t="shared" si="25"/>
        <v>15</v>
      </c>
      <c r="EA719" s="1487"/>
      <c r="EB719" s="1487"/>
      <c r="EC719" s="1487"/>
      <c r="ED719" s="1487"/>
      <c r="EE719" s="1487">
        <f t="shared" si="26"/>
        <v>0</v>
      </c>
      <c r="EF719" s="1487"/>
      <c r="EG719" s="1487"/>
      <c r="EH719" s="1487"/>
      <c r="EI719" s="1487"/>
      <c r="EJ719" s="1487">
        <f t="shared" si="27"/>
        <v>0</v>
      </c>
      <c r="EK719" s="1487"/>
      <c r="EL719" s="1487"/>
      <c r="EM719" s="1487"/>
      <c r="EN719" s="1487"/>
      <c r="EO719" s="1487">
        <f t="shared" si="28"/>
        <v>0</v>
      </c>
      <c r="EP719" s="1487"/>
      <c r="EQ719" s="1487"/>
      <c r="ER719" s="1487"/>
      <c r="ES719" s="1487"/>
      <c r="ET719" s="1487">
        <f t="shared" si="29"/>
        <v>0</v>
      </c>
      <c r="EU719" s="1487"/>
      <c r="EV719" s="1487"/>
      <c r="EW719" s="1487"/>
      <c r="EX719" s="1487"/>
      <c r="EY719" s="4"/>
      <c r="EZ719" s="1490" t="str">
        <f t="shared" si="30"/>
        <v/>
      </c>
      <c r="FA719" s="1492"/>
      <c r="FB719" s="1492"/>
      <c r="FC719" s="1492"/>
      <c r="FD719" s="1491"/>
      <c r="FE719" s="1490">
        <f t="shared" si="31"/>
        <v>755</v>
      </c>
      <c r="FF719" s="1492"/>
      <c r="FG719" s="1492"/>
      <c r="FH719" s="1492"/>
      <c r="FI719" s="1491"/>
      <c r="FJ719" s="1490" t="str">
        <f t="shared" si="32"/>
        <v/>
      </c>
      <c r="FK719" s="1492"/>
      <c r="FL719" s="1492"/>
      <c r="FM719" s="1492"/>
      <c r="FN719" s="1491"/>
      <c r="FO719" s="1490" t="str">
        <f t="shared" si="33"/>
        <v/>
      </c>
      <c r="FP719" s="1492"/>
      <c r="FQ719" s="1492"/>
      <c r="FR719" s="1492"/>
      <c r="FS719" s="1491"/>
      <c r="FT719" s="1490" t="str">
        <f t="shared" si="34"/>
        <v/>
      </c>
      <c r="FU719" s="1492"/>
      <c r="FV719" s="1492"/>
      <c r="FW719" s="1492"/>
      <c r="FX719" s="1491"/>
      <c r="FY719" s="1490" t="str">
        <f t="shared" si="35"/>
        <v/>
      </c>
      <c r="FZ719" s="1492"/>
      <c r="GA719" s="1492"/>
      <c r="GB719" s="1492"/>
      <c r="GC719" s="1491"/>
    </row>
    <row r="720" spans="1:185" ht="12.95" customHeight="1">
      <c r="A720" s="4"/>
      <c r="B720" s="1350" t="s">
        <v>324</v>
      </c>
      <c r="C720" s="1351"/>
      <c r="D720" s="1351"/>
      <c r="E720" s="1351"/>
      <c r="F720" s="1352"/>
      <c r="G720" s="1354">
        <v>60</v>
      </c>
      <c r="H720" s="1355"/>
      <c r="I720" s="1355"/>
      <c r="J720" s="1356"/>
      <c r="K720" s="1344">
        <v>390</v>
      </c>
      <c r="L720" s="1345"/>
      <c r="M720" s="1345"/>
      <c r="N720" s="1346"/>
      <c r="O720" s="1341">
        <f>1590-T720</f>
        <v>1516</v>
      </c>
      <c r="P720" s="1342"/>
      <c r="Q720" s="1342"/>
      <c r="R720" s="1342"/>
      <c r="S720" s="1343"/>
      <c r="T720" s="1341">
        <v>74</v>
      </c>
      <c r="U720" s="1342"/>
      <c r="V720" s="1342"/>
      <c r="W720" s="1343"/>
      <c r="X720" s="1357">
        <f t="shared" si="8"/>
        <v>1590</v>
      </c>
      <c r="Y720" s="1358"/>
      <c r="Z720" s="1358"/>
      <c r="AA720" s="1358"/>
      <c r="AB720" s="1359"/>
      <c r="AC720" s="1364">
        <v>0.6</v>
      </c>
      <c r="AD720" s="1365"/>
      <c r="AE720" s="1365"/>
      <c r="AF720" s="1365"/>
      <c r="AG720" s="1366"/>
      <c r="AH720" s="1360">
        <f t="shared" si="36"/>
        <v>0.6</v>
      </c>
      <c r="AI720" s="1361"/>
      <c r="AJ720" s="1362"/>
      <c r="AK720" s="1350" t="s">
        <v>592</v>
      </c>
      <c r="AL720" s="1351"/>
      <c r="AM720" s="1351"/>
      <c r="AN720" s="1351"/>
      <c r="AO720" s="1352"/>
      <c r="AP720" s="3"/>
      <c r="AQ720" s="3"/>
      <c r="AR720" s="3"/>
      <c r="AS720" s="3"/>
      <c r="AZ720" s="118">
        <f t="shared" si="9"/>
        <v>2650</v>
      </c>
      <c r="BA720" s="3"/>
      <c r="BB720" s="3"/>
      <c r="BC720" s="3"/>
      <c r="BD720" s="3"/>
      <c r="BE720" s="204"/>
      <c r="BF720" s="293">
        <f t="shared" si="10"/>
        <v>60</v>
      </c>
      <c r="BG720" s="296">
        <f t="shared" si="11"/>
        <v>0.40268456375838924</v>
      </c>
      <c r="BH720" s="297">
        <f t="shared" si="12"/>
        <v>0.24161073825503354</v>
      </c>
      <c r="BI720" s="3"/>
      <c r="BJ720" s="3"/>
      <c r="BK720" s="3"/>
      <c r="BL720" s="3"/>
      <c r="BM720" s="3"/>
      <c r="BN720" s="3"/>
      <c r="BS720" s="293">
        <f t="shared" si="13"/>
        <v>60</v>
      </c>
      <c r="BT720" s="296">
        <f t="shared" si="14"/>
        <v>0.40268456375838924</v>
      </c>
      <c r="BU720" s="297">
        <f t="shared" si="15"/>
        <v>0.24161073825503354</v>
      </c>
      <c r="CC720" s="3"/>
      <c r="CD720" s="3"/>
      <c r="CE720" s="3"/>
      <c r="CF720" s="3"/>
      <c r="CG720" s="1490">
        <f t="shared" si="37"/>
        <v>0</v>
      </c>
      <c r="CH720" s="1491"/>
      <c r="CI720" s="1488">
        <f t="shared" si="38"/>
        <v>0</v>
      </c>
      <c r="CJ720" s="1489"/>
      <c r="CK720" s="1490">
        <f t="shared" si="16"/>
        <v>0</v>
      </c>
      <c r="CL720" s="1491"/>
      <c r="CM720" s="1488">
        <f t="shared" si="17"/>
        <v>0</v>
      </c>
      <c r="CN720" s="1489"/>
      <c r="CO720" s="3"/>
      <c r="CP720" s="1482">
        <f t="shared" si="18"/>
        <v>60</v>
      </c>
      <c r="CQ720" s="1483"/>
      <c r="CR720" s="1483"/>
      <c r="CS720" s="1483"/>
      <c r="CT720" s="1484"/>
      <c r="CU720" s="1486">
        <f t="shared" si="19"/>
        <v>0</v>
      </c>
      <c r="CV720" s="1486"/>
      <c r="CW720" s="1486"/>
      <c r="CX720" s="1486"/>
      <c r="CY720" s="1486"/>
      <c r="CZ720" s="1486">
        <f t="shared" si="20"/>
        <v>0</v>
      </c>
      <c r="DA720" s="1486"/>
      <c r="DB720" s="1486"/>
      <c r="DC720" s="1486"/>
      <c r="DD720" s="1486"/>
      <c r="DE720" s="1486">
        <f t="shared" si="21"/>
        <v>0</v>
      </c>
      <c r="DF720" s="1486"/>
      <c r="DG720" s="1486"/>
      <c r="DH720" s="1486"/>
      <c r="DI720" s="1486"/>
      <c r="DJ720" s="1486">
        <f t="shared" si="22"/>
        <v>0</v>
      </c>
      <c r="DK720" s="1486"/>
      <c r="DL720" s="1486"/>
      <c r="DM720" s="1486"/>
      <c r="DN720" s="1486"/>
      <c r="DO720" s="1486">
        <f t="shared" si="23"/>
        <v>0</v>
      </c>
      <c r="DP720" s="1486"/>
      <c r="DQ720" s="1486"/>
      <c r="DR720" s="1486"/>
      <c r="DS720" s="1486"/>
      <c r="DT720" s="6"/>
      <c r="DU720" s="1487">
        <f t="shared" si="24"/>
        <v>0</v>
      </c>
      <c r="DV720" s="1487"/>
      <c r="DW720" s="1487"/>
      <c r="DX720" s="1487"/>
      <c r="DY720" s="1487"/>
      <c r="DZ720" s="1487">
        <f t="shared" si="25"/>
        <v>0</v>
      </c>
      <c r="EA720" s="1487"/>
      <c r="EB720" s="1487"/>
      <c r="EC720" s="1487"/>
      <c r="ED720" s="1487"/>
      <c r="EE720" s="1487">
        <f t="shared" si="26"/>
        <v>0</v>
      </c>
      <c r="EF720" s="1487"/>
      <c r="EG720" s="1487"/>
      <c r="EH720" s="1487"/>
      <c r="EI720" s="1487"/>
      <c r="EJ720" s="1487">
        <f t="shared" si="27"/>
        <v>0</v>
      </c>
      <c r="EK720" s="1487"/>
      <c r="EL720" s="1487"/>
      <c r="EM720" s="1487"/>
      <c r="EN720" s="1487"/>
      <c r="EO720" s="1487">
        <f t="shared" si="28"/>
        <v>0</v>
      </c>
      <c r="EP720" s="1487"/>
      <c r="EQ720" s="1487"/>
      <c r="ER720" s="1487"/>
      <c r="ES720" s="1487"/>
      <c r="ET720" s="1487">
        <f t="shared" si="29"/>
        <v>0</v>
      </c>
      <c r="EU720" s="1487"/>
      <c r="EV720" s="1487"/>
      <c r="EW720" s="1487"/>
      <c r="EX720" s="1487"/>
      <c r="EZ720" s="1490">
        <f t="shared" si="30"/>
        <v>1516</v>
      </c>
      <c r="FA720" s="1492"/>
      <c r="FB720" s="1492"/>
      <c r="FC720" s="1492"/>
      <c r="FD720" s="1491"/>
      <c r="FE720" s="1490" t="str">
        <f t="shared" si="31"/>
        <v/>
      </c>
      <c r="FF720" s="1492"/>
      <c r="FG720" s="1492"/>
      <c r="FH720" s="1492"/>
      <c r="FI720" s="1491"/>
      <c r="FJ720" s="1490" t="str">
        <f t="shared" si="32"/>
        <v/>
      </c>
      <c r="FK720" s="1492"/>
      <c r="FL720" s="1492"/>
      <c r="FM720" s="1492"/>
      <c r="FN720" s="1491"/>
      <c r="FO720" s="1490" t="str">
        <f t="shared" si="33"/>
        <v/>
      </c>
      <c r="FP720" s="1492"/>
      <c r="FQ720" s="1492"/>
      <c r="FR720" s="1492"/>
      <c r="FS720" s="1491"/>
      <c r="FT720" s="1490" t="str">
        <f t="shared" si="34"/>
        <v/>
      </c>
      <c r="FU720" s="1492"/>
      <c r="FV720" s="1492"/>
      <c r="FW720" s="1492"/>
      <c r="FX720" s="1491"/>
      <c r="FY720" s="1490" t="str">
        <f t="shared" si="35"/>
        <v/>
      </c>
      <c r="FZ720" s="1492"/>
      <c r="GA720" s="1492"/>
      <c r="GB720" s="1492"/>
      <c r="GC720" s="1491"/>
    </row>
    <row r="721" spans="1:185" ht="12.95" customHeight="1">
      <c r="B721" s="1350" t="s">
        <v>325</v>
      </c>
      <c r="C721" s="1351"/>
      <c r="D721" s="1351"/>
      <c r="E721" s="1351"/>
      <c r="F721" s="1352"/>
      <c r="G721" s="1354">
        <v>14</v>
      </c>
      <c r="H721" s="1355"/>
      <c r="I721" s="1355"/>
      <c r="J721" s="1356"/>
      <c r="K721" s="1344">
        <v>630</v>
      </c>
      <c r="L721" s="1345"/>
      <c r="M721" s="1345"/>
      <c r="N721" s="1346"/>
      <c r="O721" s="1341">
        <f>1704-T721</f>
        <v>1607</v>
      </c>
      <c r="P721" s="1342"/>
      <c r="Q721" s="1342"/>
      <c r="R721" s="1342"/>
      <c r="S721" s="1343"/>
      <c r="T721" s="1341">
        <v>97</v>
      </c>
      <c r="U721" s="1342"/>
      <c r="V721" s="1342"/>
      <c r="W721" s="1343"/>
      <c r="X721" s="1357">
        <f t="shared" si="8"/>
        <v>1704</v>
      </c>
      <c r="Y721" s="1358"/>
      <c r="Z721" s="1358"/>
      <c r="AA721" s="1358"/>
      <c r="AB721" s="1359"/>
      <c r="AC721" s="1364">
        <v>0.6</v>
      </c>
      <c r="AD721" s="1365"/>
      <c r="AE721" s="1365"/>
      <c r="AF721" s="1365"/>
      <c r="AG721" s="1366"/>
      <c r="AH721" s="1360">
        <f t="shared" si="36"/>
        <v>0.6</v>
      </c>
      <c r="AI721" s="1361"/>
      <c r="AJ721" s="1362"/>
      <c r="AK721" s="1350" t="s">
        <v>592</v>
      </c>
      <c r="AL721" s="1351"/>
      <c r="AM721" s="1351"/>
      <c r="AN721" s="1351"/>
      <c r="AO721" s="1352"/>
      <c r="AP721" s="3"/>
      <c r="AQ721" s="3"/>
      <c r="AR721" s="3"/>
      <c r="AS721" s="3"/>
      <c r="AY721" s="116"/>
      <c r="AZ721" s="118">
        <f t="shared" si="9"/>
        <v>2840</v>
      </c>
      <c r="BA721" s="3"/>
      <c r="BB721" s="3"/>
      <c r="BC721" s="3"/>
      <c r="BD721" s="3"/>
      <c r="BE721" s="204"/>
      <c r="BF721" s="293">
        <f t="shared" si="10"/>
        <v>14</v>
      </c>
      <c r="BG721" s="296">
        <f t="shared" si="11"/>
        <v>9.3959731543624164E-2</v>
      </c>
      <c r="BH721" s="297">
        <f t="shared" si="12"/>
        <v>5.6375838926174496E-2</v>
      </c>
      <c r="BI721" s="3"/>
      <c r="BJ721" s="3"/>
      <c r="BK721" s="3"/>
      <c r="BL721" s="3"/>
      <c r="BM721" s="3"/>
      <c r="BN721" s="3"/>
      <c r="BS721" s="293">
        <f t="shared" si="13"/>
        <v>14</v>
      </c>
      <c r="BT721" s="296">
        <f t="shared" si="14"/>
        <v>9.3959731543624164E-2</v>
      </c>
      <c r="BU721" s="297">
        <f t="shared" si="15"/>
        <v>5.6375838926174496E-2</v>
      </c>
      <c r="CC721" s="3"/>
      <c r="CD721" s="3"/>
      <c r="CE721" s="3"/>
      <c r="CF721" s="3"/>
      <c r="CG721" s="1490">
        <f t="shared" si="37"/>
        <v>0</v>
      </c>
      <c r="CH721" s="1491"/>
      <c r="CI721" s="1488">
        <f t="shared" si="38"/>
        <v>0</v>
      </c>
      <c r="CJ721" s="1489"/>
      <c r="CK721" s="1490">
        <f t="shared" si="16"/>
        <v>0</v>
      </c>
      <c r="CL721" s="1491"/>
      <c r="CM721" s="1488">
        <f t="shared" si="17"/>
        <v>0</v>
      </c>
      <c r="CN721" s="1489"/>
      <c r="CO721" s="3"/>
      <c r="CP721" s="1482">
        <f t="shared" si="18"/>
        <v>0</v>
      </c>
      <c r="CQ721" s="1483"/>
      <c r="CR721" s="1483"/>
      <c r="CS721" s="1483"/>
      <c r="CT721" s="1484"/>
      <c r="CU721" s="1486">
        <f t="shared" si="19"/>
        <v>14</v>
      </c>
      <c r="CV721" s="1486"/>
      <c r="CW721" s="1486"/>
      <c r="CX721" s="1486"/>
      <c r="CY721" s="1486"/>
      <c r="CZ721" s="1486">
        <f t="shared" si="20"/>
        <v>0</v>
      </c>
      <c r="DA721" s="1486"/>
      <c r="DB721" s="1486"/>
      <c r="DC721" s="1486"/>
      <c r="DD721" s="1486"/>
      <c r="DE721" s="1486">
        <f t="shared" si="21"/>
        <v>0</v>
      </c>
      <c r="DF721" s="1486"/>
      <c r="DG721" s="1486"/>
      <c r="DH721" s="1486"/>
      <c r="DI721" s="1486"/>
      <c r="DJ721" s="1486">
        <f t="shared" si="22"/>
        <v>0</v>
      </c>
      <c r="DK721" s="1486"/>
      <c r="DL721" s="1486"/>
      <c r="DM721" s="1486"/>
      <c r="DN721" s="1486"/>
      <c r="DO721" s="1486">
        <f t="shared" si="23"/>
        <v>0</v>
      </c>
      <c r="DP721" s="1486"/>
      <c r="DQ721" s="1486"/>
      <c r="DR721" s="1486"/>
      <c r="DS721" s="1486"/>
      <c r="DT721" s="6"/>
      <c r="DU721" s="1487">
        <f t="shared" si="24"/>
        <v>0</v>
      </c>
      <c r="DV721" s="1487"/>
      <c r="DW721" s="1487"/>
      <c r="DX721" s="1487"/>
      <c r="DY721" s="1487"/>
      <c r="DZ721" s="1487">
        <f t="shared" si="25"/>
        <v>0</v>
      </c>
      <c r="EA721" s="1487"/>
      <c r="EB721" s="1487"/>
      <c r="EC721" s="1487"/>
      <c r="ED721" s="1487"/>
      <c r="EE721" s="1487">
        <f t="shared" si="26"/>
        <v>0</v>
      </c>
      <c r="EF721" s="1487"/>
      <c r="EG721" s="1487"/>
      <c r="EH721" s="1487"/>
      <c r="EI721" s="1487"/>
      <c r="EJ721" s="1487">
        <f t="shared" si="27"/>
        <v>0</v>
      </c>
      <c r="EK721" s="1487"/>
      <c r="EL721" s="1487"/>
      <c r="EM721" s="1487"/>
      <c r="EN721" s="1487"/>
      <c r="EO721" s="1487">
        <f t="shared" si="28"/>
        <v>0</v>
      </c>
      <c r="EP721" s="1487"/>
      <c r="EQ721" s="1487"/>
      <c r="ER721" s="1487"/>
      <c r="ES721" s="1487"/>
      <c r="ET721" s="1487">
        <f t="shared" si="29"/>
        <v>0</v>
      </c>
      <c r="EU721" s="1487"/>
      <c r="EV721" s="1487"/>
      <c r="EW721" s="1487"/>
      <c r="EX721" s="1487"/>
      <c r="EZ721" s="1490" t="str">
        <f t="shared" si="30"/>
        <v/>
      </c>
      <c r="FA721" s="1492"/>
      <c r="FB721" s="1492"/>
      <c r="FC721" s="1492"/>
      <c r="FD721" s="1491"/>
      <c r="FE721" s="1490">
        <f t="shared" si="31"/>
        <v>1607</v>
      </c>
      <c r="FF721" s="1492"/>
      <c r="FG721" s="1492"/>
      <c r="FH721" s="1492"/>
      <c r="FI721" s="1491"/>
      <c r="FJ721" s="1490" t="str">
        <f t="shared" si="32"/>
        <v/>
      </c>
      <c r="FK721" s="1492"/>
      <c r="FL721" s="1492"/>
      <c r="FM721" s="1492"/>
      <c r="FN721" s="1491"/>
      <c r="FO721" s="1490" t="str">
        <f t="shared" si="33"/>
        <v/>
      </c>
      <c r="FP721" s="1492"/>
      <c r="FQ721" s="1492"/>
      <c r="FR721" s="1492"/>
      <c r="FS721" s="1491"/>
      <c r="FT721" s="1490" t="str">
        <f t="shared" si="34"/>
        <v/>
      </c>
      <c r="FU721" s="1492"/>
      <c r="FV721" s="1492"/>
      <c r="FW721" s="1492"/>
      <c r="FX721" s="1491"/>
      <c r="FY721" s="1490" t="str">
        <f t="shared" si="35"/>
        <v/>
      </c>
      <c r="FZ721" s="1492"/>
      <c r="GA721" s="1492"/>
      <c r="GB721" s="1492"/>
      <c r="GC721" s="1491"/>
    </row>
    <row r="722" spans="1:185" ht="12.95" customHeight="1">
      <c r="B722" s="1350"/>
      <c r="C722" s="1351"/>
      <c r="D722" s="1351"/>
      <c r="E722" s="1351"/>
      <c r="F722" s="1352"/>
      <c r="G722" s="1354"/>
      <c r="H722" s="1355"/>
      <c r="I722" s="1355"/>
      <c r="J722" s="1356"/>
      <c r="K722" s="1344"/>
      <c r="L722" s="1345"/>
      <c r="M722" s="1345"/>
      <c r="N722" s="1346"/>
      <c r="O722" s="1341"/>
      <c r="P722" s="1342"/>
      <c r="Q722" s="1342"/>
      <c r="R722" s="1342"/>
      <c r="S722" s="1343"/>
      <c r="T722" s="1341"/>
      <c r="U722" s="1342"/>
      <c r="V722" s="1342"/>
      <c r="W722" s="1343"/>
      <c r="X722" s="1357">
        <f t="shared" si="8"/>
        <v>0</v>
      </c>
      <c r="Y722" s="1358"/>
      <c r="Z722" s="1358"/>
      <c r="AA722" s="1358"/>
      <c r="AB722" s="1359"/>
      <c r="AC722" s="1364"/>
      <c r="AD722" s="1365"/>
      <c r="AE722" s="1365"/>
      <c r="AF722" s="1365"/>
      <c r="AG722" s="1366"/>
      <c r="AH722" s="1360" t="str">
        <f t="shared" si="36"/>
        <v/>
      </c>
      <c r="AI722" s="1361"/>
      <c r="AJ722" s="1362"/>
      <c r="AK722" s="1350" t="s">
        <v>592</v>
      </c>
      <c r="AL722" s="1351"/>
      <c r="AM722" s="1351"/>
      <c r="AN722" s="1351"/>
      <c r="AO722" s="1352"/>
      <c r="AP722" s="3"/>
      <c r="AQ722" s="3"/>
      <c r="AR722" s="3"/>
      <c r="AS722" s="3"/>
      <c r="AY722" s="116"/>
      <c r="AZ722" s="118" t="str">
        <f t="shared" si="9"/>
        <v>N/A</v>
      </c>
      <c r="BA722" s="3"/>
      <c r="BB722" s="3"/>
      <c r="BC722" s="3"/>
      <c r="BD722" s="3"/>
      <c r="BE722" s="204"/>
      <c r="BF722" s="293">
        <f t="shared" si="10"/>
        <v>0</v>
      </c>
      <c r="BG722" s="296">
        <f t="shared" si="11"/>
        <v>0</v>
      </c>
      <c r="BH722" s="297" t="str">
        <f t="shared" si="12"/>
        <v/>
      </c>
      <c r="BI722" s="3"/>
      <c r="BJ722" s="3"/>
      <c r="BK722" s="3"/>
      <c r="BL722" s="3"/>
      <c r="BM722" s="3"/>
      <c r="BN722" s="3"/>
      <c r="BS722" s="293">
        <f t="shared" si="13"/>
        <v>0</v>
      </c>
      <c r="BT722" s="296">
        <f t="shared" si="14"/>
        <v>0</v>
      </c>
      <c r="BU722" s="297" t="str">
        <f t="shared" si="15"/>
        <v/>
      </c>
      <c r="CC722" s="3"/>
      <c r="CD722" s="3"/>
      <c r="CE722" s="3"/>
      <c r="CF722" s="3"/>
      <c r="CG722" s="1490">
        <f t="shared" si="37"/>
        <v>0</v>
      </c>
      <c r="CH722" s="1491"/>
      <c r="CI722" s="1488">
        <f t="shared" si="38"/>
        <v>0</v>
      </c>
      <c r="CJ722" s="1489"/>
      <c r="CK722" s="1490">
        <f t="shared" si="16"/>
        <v>0</v>
      </c>
      <c r="CL722" s="1491"/>
      <c r="CM722" s="1488">
        <f t="shared" si="17"/>
        <v>0</v>
      </c>
      <c r="CN722" s="1489"/>
      <c r="CO722" s="3"/>
      <c r="CP722" s="1482">
        <f t="shared" si="18"/>
        <v>0</v>
      </c>
      <c r="CQ722" s="1483"/>
      <c r="CR722" s="1483"/>
      <c r="CS722" s="1483"/>
      <c r="CT722" s="1484"/>
      <c r="CU722" s="1486">
        <f t="shared" si="19"/>
        <v>0</v>
      </c>
      <c r="CV722" s="1486"/>
      <c r="CW722" s="1486"/>
      <c r="CX722" s="1486"/>
      <c r="CY722" s="1486"/>
      <c r="CZ722" s="1486">
        <f t="shared" si="20"/>
        <v>0</v>
      </c>
      <c r="DA722" s="1486"/>
      <c r="DB722" s="1486"/>
      <c r="DC722" s="1486"/>
      <c r="DD722" s="1486"/>
      <c r="DE722" s="1486">
        <f t="shared" si="21"/>
        <v>0</v>
      </c>
      <c r="DF722" s="1486"/>
      <c r="DG722" s="1486"/>
      <c r="DH722" s="1486"/>
      <c r="DI722" s="1486"/>
      <c r="DJ722" s="1486">
        <f t="shared" si="22"/>
        <v>0</v>
      </c>
      <c r="DK722" s="1486"/>
      <c r="DL722" s="1486"/>
      <c r="DM722" s="1486"/>
      <c r="DN722" s="1486"/>
      <c r="DO722" s="1486">
        <f t="shared" si="23"/>
        <v>0</v>
      </c>
      <c r="DP722" s="1486"/>
      <c r="DQ722" s="1486"/>
      <c r="DR722" s="1486"/>
      <c r="DS722" s="1486"/>
      <c r="DT722" s="6"/>
      <c r="DU722" s="1487">
        <f t="shared" si="24"/>
        <v>0</v>
      </c>
      <c r="DV722" s="1487"/>
      <c r="DW722" s="1487"/>
      <c r="DX722" s="1487"/>
      <c r="DY722" s="1487"/>
      <c r="DZ722" s="1487">
        <f t="shared" si="25"/>
        <v>0</v>
      </c>
      <c r="EA722" s="1487"/>
      <c r="EB722" s="1487"/>
      <c r="EC722" s="1487"/>
      <c r="ED722" s="1487"/>
      <c r="EE722" s="1487">
        <f t="shared" si="26"/>
        <v>0</v>
      </c>
      <c r="EF722" s="1487"/>
      <c r="EG722" s="1487"/>
      <c r="EH722" s="1487"/>
      <c r="EI722" s="1487"/>
      <c r="EJ722" s="1487">
        <f t="shared" si="27"/>
        <v>0</v>
      </c>
      <c r="EK722" s="1487"/>
      <c r="EL722" s="1487"/>
      <c r="EM722" s="1487"/>
      <c r="EN722" s="1487"/>
      <c r="EO722" s="1487">
        <f t="shared" si="28"/>
        <v>0</v>
      </c>
      <c r="EP722" s="1487"/>
      <c r="EQ722" s="1487"/>
      <c r="ER722" s="1487"/>
      <c r="ES722" s="1487"/>
      <c r="ET722" s="1487">
        <f t="shared" si="29"/>
        <v>0</v>
      </c>
      <c r="EU722" s="1487"/>
      <c r="EV722" s="1487"/>
      <c r="EW722" s="1487"/>
      <c r="EX722" s="1487"/>
      <c r="EZ722" s="1490" t="str">
        <f t="shared" si="30"/>
        <v/>
      </c>
      <c r="FA722" s="1492"/>
      <c r="FB722" s="1492"/>
      <c r="FC722" s="1492"/>
      <c r="FD722" s="1491"/>
      <c r="FE722" s="1490" t="str">
        <f t="shared" si="31"/>
        <v/>
      </c>
      <c r="FF722" s="1492"/>
      <c r="FG722" s="1492"/>
      <c r="FH722" s="1492"/>
      <c r="FI722" s="1491"/>
      <c r="FJ722" s="1490" t="str">
        <f t="shared" si="32"/>
        <v/>
      </c>
      <c r="FK722" s="1492"/>
      <c r="FL722" s="1492"/>
      <c r="FM722" s="1492"/>
      <c r="FN722" s="1491"/>
      <c r="FO722" s="1490" t="str">
        <f t="shared" si="33"/>
        <v/>
      </c>
      <c r="FP722" s="1492"/>
      <c r="FQ722" s="1492"/>
      <c r="FR722" s="1492"/>
      <c r="FS722" s="1491"/>
      <c r="FT722" s="1490" t="str">
        <f t="shared" si="34"/>
        <v/>
      </c>
      <c r="FU722" s="1492"/>
      <c r="FV722" s="1492"/>
      <c r="FW722" s="1492"/>
      <c r="FX722" s="1491"/>
      <c r="FY722" s="1490" t="str">
        <f t="shared" si="35"/>
        <v/>
      </c>
      <c r="FZ722" s="1492"/>
      <c r="GA722" s="1492"/>
      <c r="GB722" s="1492"/>
      <c r="GC722" s="1491"/>
    </row>
    <row r="723" spans="1:185" ht="12.95" customHeight="1">
      <c r="B723" s="1350"/>
      <c r="C723" s="1351"/>
      <c r="D723" s="1351"/>
      <c r="E723" s="1351"/>
      <c r="F723" s="1352"/>
      <c r="G723" s="1354"/>
      <c r="H723" s="1355"/>
      <c r="I723" s="1355"/>
      <c r="J723" s="1356"/>
      <c r="K723" s="1344"/>
      <c r="L723" s="1345"/>
      <c r="M723" s="1345"/>
      <c r="N723" s="1346"/>
      <c r="O723" s="1341"/>
      <c r="P723" s="1342"/>
      <c r="Q723" s="1342"/>
      <c r="R723" s="1342"/>
      <c r="S723" s="1343"/>
      <c r="T723" s="1341"/>
      <c r="U723" s="1342"/>
      <c r="V723" s="1342"/>
      <c r="W723" s="1343"/>
      <c r="X723" s="1357">
        <f t="shared" si="8"/>
        <v>0</v>
      </c>
      <c r="Y723" s="1358"/>
      <c r="Z723" s="1358"/>
      <c r="AA723" s="1358"/>
      <c r="AB723" s="1359"/>
      <c r="AC723" s="1364"/>
      <c r="AD723" s="1365"/>
      <c r="AE723" s="1365"/>
      <c r="AF723" s="1365"/>
      <c r="AG723" s="1366"/>
      <c r="AH723" s="1360" t="str">
        <f t="shared" si="36"/>
        <v/>
      </c>
      <c r="AI723" s="1361"/>
      <c r="AJ723" s="1362"/>
      <c r="AK723" s="1350" t="s">
        <v>592</v>
      </c>
      <c r="AL723" s="1351"/>
      <c r="AM723" s="1351"/>
      <c r="AN723" s="1351"/>
      <c r="AO723" s="1352"/>
      <c r="AP723" s="3"/>
      <c r="AQ723" s="3"/>
      <c r="AR723" s="3"/>
      <c r="AS723" s="3"/>
      <c r="AY723" s="116"/>
      <c r="AZ723" s="118" t="str">
        <f t="shared" si="9"/>
        <v>N/A</v>
      </c>
      <c r="BA723" s="3"/>
      <c r="BB723" s="3"/>
      <c r="BC723" s="3"/>
      <c r="BD723" s="3"/>
      <c r="BE723" s="204"/>
      <c r="BF723" s="293">
        <f t="shared" si="10"/>
        <v>0</v>
      </c>
      <c r="BG723" s="296">
        <f t="shared" si="11"/>
        <v>0</v>
      </c>
      <c r="BH723" s="297" t="str">
        <f t="shared" si="12"/>
        <v/>
      </c>
      <c r="BI723" s="3"/>
      <c r="BJ723" s="3"/>
      <c r="BK723" s="3"/>
      <c r="BL723" s="3"/>
      <c r="BM723" s="3"/>
      <c r="BN723" s="3"/>
      <c r="BS723" s="293">
        <f t="shared" si="13"/>
        <v>0</v>
      </c>
      <c r="BT723" s="296">
        <f t="shared" si="14"/>
        <v>0</v>
      </c>
      <c r="BU723" s="297" t="str">
        <f t="shared" si="15"/>
        <v/>
      </c>
      <c r="CC723" s="3"/>
      <c r="CD723" s="3"/>
      <c r="CE723" s="3"/>
      <c r="CF723" s="3"/>
      <c r="CG723" s="1490">
        <f t="shared" si="37"/>
        <v>0</v>
      </c>
      <c r="CH723" s="1491"/>
      <c r="CI723" s="1488">
        <f t="shared" si="38"/>
        <v>0</v>
      </c>
      <c r="CJ723" s="1489"/>
      <c r="CK723" s="1490">
        <f t="shared" si="16"/>
        <v>0</v>
      </c>
      <c r="CL723" s="1491"/>
      <c r="CM723" s="1488">
        <f t="shared" si="17"/>
        <v>0</v>
      </c>
      <c r="CN723" s="1489"/>
      <c r="CO723" s="3"/>
      <c r="CP723" s="1482">
        <f t="shared" si="18"/>
        <v>0</v>
      </c>
      <c r="CQ723" s="1483"/>
      <c r="CR723" s="1483"/>
      <c r="CS723" s="1483"/>
      <c r="CT723" s="1484"/>
      <c r="CU723" s="1486">
        <f t="shared" si="19"/>
        <v>0</v>
      </c>
      <c r="CV723" s="1486"/>
      <c r="CW723" s="1486"/>
      <c r="CX723" s="1486"/>
      <c r="CY723" s="1486"/>
      <c r="CZ723" s="1486">
        <f t="shared" si="20"/>
        <v>0</v>
      </c>
      <c r="DA723" s="1486"/>
      <c r="DB723" s="1486"/>
      <c r="DC723" s="1486"/>
      <c r="DD723" s="1486"/>
      <c r="DE723" s="1486">
        <f t="shared" si="21"/>
        <v>0</v>
      </c>
      <c r="DF723" s="1486"/>
      <c r="DG723" s="1486"/>
      <c r="DH723" s="1486"/>
      <c r="DI723" s="1486"/>
      <c r="DJ723" s="1486">
        <f t="shared" si="22"/>
        <v>0</v>
      </c>
      <c r="DK723" s="1486"/>
      <c r="DL723" s="1486"/>
      <c r="DM723" s="1486"/>
      <c r="DN723" s="1486"/>
      <c r="DO723" s="1486">
        <f t="shared" si="23"/>
        <v>0</v>
      </c>
      <c r="DP723" s="1486"/>
      <c r="DQ723" s="1486"/>
      <c r="DR723" s="1486"/>
      <c r="DS723" s="1486"/>
      <c r="DT723" s="6"/>
      <c r="DU723" s="1487">
        <f t="shared" si="24"/>
        <v>0</v>
      </c>
      <c r="DV723" s="1487"/>
      <c r="DW723" s="1487"/>
      <c r="DX723" s="1487"/>
      <c r="DY723" s="1487"/>
      <c r="DZ723" s="1487">
        <f t="shared" si="25"/>
        <v>0</v>
      </c>
      <c r="EA723" s="1487"/>
      <c r="EB723" s="1487"/>
      <c r="EC723" s="1487"/>
      <c r="ED723" s="1487"/>
      <c r="EE723" s="1487">
        <f t="shared" si="26"/>
        <v>0</v>
      </c>
      <c r="EF723" s="1487"/>
      <c r="EG723" s="1487"/>
      <c r="EH723" s="1487"/>
      <c r="EI723" s="1487"/>
      <c r="EJ723" s="1487">
        <f t="shared" si="27"/>
        <v>0</v>
      </c>
      <c r="EK723" s="1487"/>
      <c r="EL723" s="1487"/>
      <c r="EM723" s="1487"/>
      <c r="EN723" s="1487"/>
      <c r="EO723" s="1487">
        <f t="shared" si="28"/>
        <v>0</v>
      </c>
      <c r="EP723" s="1487"/>
      <c r="EQ723" s="1487"/>
      <c r="ER723" s="1487"/>
      <c r="ES723" s="1487"/>
      <c r="ET723" s="1487">
        <f t="shared" si="29"/>
        <v>0</v>
      </c>
      <c r="EU723" s="1487"/>
      <c r="EV723" s="1487"/>
      <c r="EW723" s="1487"/>
      <c r="EX723" s="1487"/>
      <c r="EZ723" s="1490" t="str">
        <f t="shared" si="30"/>
        <v/>
      </c>
      <c r="FA723" s="1492"/>
      <c r="FB723" s="1492"/>
      <c r="FC723" s="1492"/>
      <c r="FD723" s="1491"/>
      <c r="FE723" s="1490" t="str">
        <f t="shared" si="31"/>
        <v/>
      </c>
      <c r="FF723" s="1492"/>
      <c r="FG723" s="1492"/>
      <c r="FH723" s="1492"/>
      <c r="FI723" s="1491"/>
      <c r="FJ723" s="1490" t="str">
        <f t="shared" si="32"/>
        <v/>
      </c>
      <c r="FK723" s="1492"/>
      <c r="FL723" s="1492"/>
      <c r="FM723" s="1492"/>
      <c r="FN723" s="1491"/>
      <c r="FO723" s="1490" t="str">
        <f t="shared" si="33"/>
        <v/>
      </c>
      <c r="FP723" s="1492"/>
      <c r="FQ723" s="1492"/>
      <c r="FR723" s="1492"/>
      <c r="FS723" s="1491"/>
      <c r="FT723" s="1490" t="str">
        <f t="shared" si="34"/>
        <v/>
      </c>
      <c r="FU723" s="1492"/>
      <c r="FV723" s="1492"/>
      <c r="FW723" s="1492"/>
      <c r="FX723" s="1491"/>
      <c r="FY723" s="1490" t="str">
        <f t="shared" si="35"/>
        <v/>
      </c>
      <c r="FZ723" s="1492"/>
      <c r="GA723" s="1492"/>
      <c r="GB723" s="1492"/>
      <c r="GC723" s="1491"/>
    </row>
    <row r="724" spans="1:185" ht="12.95" customHeight="1">
      <c r="B724" s="1350"/>
      <c r="C724" s="1351"/>
      <c r="D724" s="1351"/>
      <c r="E724" s="1351"/>
      <c r="F724" s="1352"/>
      <c r="G724" s="1354"/>
      <c r="H724" s="1355"/>
      <c r="I724" s="1355"/>
      <c r="J724" s="1356"/>
      <c r="K724" s="1344"/>
      <c r="L724" s="1345"/>
      <c r="M724" s="1345"/>
      <c r="N724" s="1346"/>
      <c r="O724" s="1341"/>
      <c r="P724" s="1342"/>
      <c r="Q724" s="1342"/>
      <c r="R724" s="1342"/>
      <c r="S724" s="1343"/>
      <c r="T724" s="1341"/>
      <c r="U724" s="1342"/>
      <c r="V724" s="1342"/>
      <c r="W724" s="1343"/>
      <c r="X724" s="1357">
        <f t="shared" si="8"/>
        <v>0</v>
      </c>
      <c r="Y724" s="1358"/>
      <c r="Z724" s="1358"/>
      <c r="AA724" s="1358"/>
      <c r="AB724" s="1359"/>
      <c r="AC724" s="1364"/>
      <c r="AD724" s="1365"/>
      <c r="AE724" s="1365"/>
      <c r="AF724" s="1365"/>
      <c r="AG724" s="1366"/>
      <c r="AH724" s="1360" t="str">
        <f t="shared" si="36"/>
        <v/>
      </c>
      <c r="AI724" s="1361"/>
      <c r="AJ724" s="1362"/>
      <c r="AK724" s="1350" t="s">
        <v>592</v>
      </c>
      <c r="AL724" s="1351"/>
      <c r="AM724" s="1351"/>
      <c r="AN724" s="1351"/>
      <c r="AO724" s="1352"/>
      <c r="AP724" s="3"/>
      <c r="AQ724" s="3"/>
      <c r="AR724" s="3"/>
      <c r="AS724" s="3"/>
      <c r="AY724" s="116"/>
      <c r="AZ724" s="118" t="str">
        <f t="shared" si="9"/>
        <v>N/A</v>
      </c>
      <c r="BA724" s="3"/>
      <c r="BB724" s="3"/>
      <c r="BC724" s="3"/>
      <c r="BD724" s="3"/>
      <c r="BE724" s="204"/>
      <c r="BF724" s="293">
        <f t="shared" si="10"/>
        <v>0</v>
      </c>
      <c r="BG724" s="296">
        <f t="shared" si="11"/>
        <v>0</v>
      </c>
      <c r="BH724" s="297" t="str">
        <f t="shared" si="12"/>
        <v/>
      </c>
      <c r="BI724" s="3"/>
      <c r="BJ724" s="3"/>
      <c r="BK724" s="3"/>
      <c r="BL724" s="3"/>
      <c r="BM724" s="3"/>
      <c r="BN724" s="3"/>
      <c r="BS724" s="293">
        <f t="shared" si="13"/>
        <v>0</v>
      </c>
      <c r="BT724" s="296">
        <f t="shared" si="14"/>
        <v>0</v>
      </c>
      <c r="BU724" s="297" t="str">
        <f t="shared" si="15"/>
        <v/>
      </c>
      <c r="CC724" s="3"/>
      <c r="CE724" s="3"/>
      <c r="CF724" s="3"/>
      <c r="CG724" s="1490">
        <f t="shared" si="37"/>
        <v>0</v>
      </c>
      <c r="CH724" s="1491"/>
      <c r="CI724" s="1488">
        <f t="shared" si="38"/>
        <v>0</v>
      </c>
      <c r="CJ724" s="1489"/>
      <c r="CK724" s="1490">
        <f t="shared" si="16"/>
        <v>0</v>
      </c>
      <c r="CL724" s="1491"/>
      <c r="CM724" s="1488">
        <f t="shared" si="17"/>
        <v>0</v>
      </c>
      <c r="CN724" s="1489"/>
      <c r="CO724" s="3"/>
      <c r="CP724" s="1482">
        <f t="shared" si="18"/>
        <v>0</v>
      </c>
      <c r="CQ724" s="1483"/>
      <c r="CR724" s="1483"/>
      <c r="CS724" s="1483"/>
      <c r="CT724" s="1484"/>
      <c r="CU724" s="1486">
        <f t="shared" si="19"/>
        <v>0</v>
      </c>
      <c r="CV724" s="1486"/>
      <c r="CW724" s="1486"/>
      <c r="CX724" s="1486"/>
      <c r="CY724" s="1486"/>
      <c r="CZ724" s="1486">
        <f t="shared" si="20"/>
        <v>0</v>
      </c>
      <c r="DA724" s="1486"/>
      <c r="DB724" s="1486"/>
      <c r="DC724" s="1486"/>
      <c r="DD724" s="1486"/>
      <c r="DE724" s="1486">
        <f t="shared" si="21"/>
        <v>0</v>
      </c>
      <c r="DF724" s="1486"/>
      <c r="DG724" s="1486"/>
      <c r="DH724" s="1486"/>
      <c r="DI724" s="1486"/>
      <c r="DJ724" s="1486">
        <f t="shared" si="22"/>
        <v>0</v>
      </c>
      <c r="DK724" s="1486"/>
      <c r="DL724" s="1486"/>
      <c r="DM724" s="1486"/>
      <c r="DN724" s="1486"/>
      <c r="DO724" s="1486">
        <f t="shared" si="23"/>
        <v>0</v>
      </c>
      <c r="DP724" s="1486"/>
      <c r="DQ724" s="1486"/>
      <c r="DR724" s="1486"/>
      <c r="DS724" s="1486"/>
      <c r="DT724" s="6"/>
      <c r="DU724" s="1487">
        <f t="shared" si="24"/>
        <v>0</v>
      </c>
      <c r="DV724" s="1487"/>
      <c r="DW724" s="1487"/>
      <c r="DX724" s="1487"/>
      <c r="DY724" s="1487"/>
      <c r="DZ724" s="1487">
        <f t="shared" si="25"/>
        <v>0</v>
      </c>
      <c r="EA724" s="1487"/>
      <c r="EB724" s="1487"/>
      <c r="EC724" s="1487"/>
      <c r="ED724" s="1487"/>
      <c r="EE724" s="1487">
        <f t="shared" si="26"/>
        <v>0</v>
      </c>
      <c r="EF724" s="1487"/>
      <c r="EG724" s="1487"/>
      <c r="EH724" s="1487"/>
      <c r="EI724" s="1487"/>
      <c r="EJ724" s="1487">
        <f t="shared" si="27"/>
        <v>0</v>
      </c>
      <c r="EK724" s="1487"/>
      <c r="EL724" s="1487"/>
      <c r="EM724" s="1487"/>
      <c r="EN724" s="1487"/>
      <c r="EO724" s="1487">
        <f t="shared" si="28"/>
        <v>0</v>
      </c>
      <c r="EP724" s="1487"/>
      <c r="EQ724" s="1487"/>
      <c r="ER724" s="1487"/>
      <c r="ES724" s="1487"/>
      <c r="ET724" s="1487">
        <f t="shared" si="29"/>
        <v>0</v>
      </c>
      <c r="EU724" s="1487"/>
      <c r="EV724" s="1487"/>
      <c r="EW724" s="1487"/>
      <c r="EX724" s="1487"/>
      <c r="EZ724" s="1490" t="str">
        <f t="shared" si="30"/>
        <v/>
      </c>
      <c r="FA724" s="1492"/>
      <c r="FB724" s="1492"/>
      <c r="FC724" s="1492"/>
      <c r="FD724" s="1491"/>
      <c r="FE724" s="1490" t="str">
        <f t="shared" si="31"/>
        <v/>
      </c>
      <c r="FF724" s="1492"/>
      <c r="FG724" s="1492"/>
      <c r="FH724" s="1492"/>
      <c r="FI724" s="1491"/>
      <c r="FJ724" s="1490" t="str">
        <f t="shared" si="32"/>
        <v/>
      </c>
      <c r="FK724" s="1492"/>
      <c r="FL724" s="1492"/>
      <c r="FM724" s="1492"/>
      <c r="FN724" s="1491"/>
      <c r="FO724" s="1490" t="str">
        <f t="shared" si="33"/>
        <v/>
      </c>
      <c r="FP724" s="1492"/>
      <c r="FQ724" s="1492"/>
      <c r="FR724" s="1492"/>
      <c r="FS724" s="1491"/>
      <c r="FT724" s="1490" t="str">
        <f t="shared" si="34"/>
        <v/>
      </c>
      <c r="FU724" s="1492"/>
      <c r="FV724" s="1492"/>
      <c r="FW724" s="1492"/>
      <c r="FX724" s="1491"/>
      <c r="FY724" s="1490" t="str">
        <f t="shared" si="35"/>
        <v/>
      </c>
      <c r="FZ724" s="1492"/>
      <c r="GA724" s="1492"/>
      <c r="GB724" s="1492"/>
      <c r="GC724" s="1491"/>
    </row>
    <row r="725" spans="1:185" ht="12.95" customHeight="1">
      <c r="B725" s="1350"/>
      <c r="C725" s="1351"/>
      <c r="D725" s="1351"/>
      <c r="E725" s="1351"/>
      <c r="F725" s="1352"/>
      <c r="G725" s="1354"/>
      <c r="H725" s="1355"/>
      <c r="I725" s="1355"/>
      <c r="J725" s="1356"/>
      <c r="K725" s="1344"/>
      <c r="L725" s="1345"/>
      <c r="M725" s="1345"/>
      <c r="N725" s="1346"/>
      <c r="O725" s="1341"/>
      <c r="P725" s="1342"/>
      <c r="Q725" s="1342"/>
      <c r="R725" s="1342"/>
      <c r="S725" s="1343"/>
      <c r="T725" s="1341"/>
      <c r="U725" s="1342"/>
      <c r="V725" s="1342"/>
      <c r="W725" s="1343"/>
      <c r="X725" s="1357">
        <f t="shared" si="8"/>
        <v>0</v>
      </c>
      <c r="Y725" s="1358"/>
      <c r="Z725" s="1358"/>
      <c r="AA725" s="1358"/>
      <c r="AB725" s="1359"/>
      <c r="AC725" s="1364"/>
      <c r="AD725" s="1365"/>
      <c r="AE725" s="1365"/>
      <c r="AF725" s="1365"/>
      <c r="AG725" s="1366"/>
      <c r="AH725" s="1360" t="str">
        <f t="shared" si="36"/>
        <v/>
      </c>
      <c r="AI725" s="1361"/>
      <c r="AJ725" s="1362"/>
      <c r="AK725" s="1350" t="s">
        <v>592</v>
      </c>
      <c r="AL725" s="1351"/>
      <c r="AM725" s="1351"/>
      <c r="AN725" s="1351"/>
      <c r="AO725" s="1352"/>
      <c r="AP725" s="3"/>
      <c r="AQ725" s="3"/>
      <c r="AR725" s="3"/>
      <c r="AS725" s="3"/>
      <c r="AY725" s="1084"/>
      <c r="AZ725" s="118" t="str">
        <f t="shared" si="9"/>
        <v>N/A</v>
      </c>
      <c r="BA725" s="3"/>
      <c r="BB725" s="3"/>
      <c r="BC725" s="3"/>
      <c r="BD725" s="3"/>
      <c r="BE725" s="204"/>
      <c r="BF725" s="293">
        <f t="shared" si="10"/>
        <v>0</v>
      </c>
      <c r="BG725" s="296">
        <f t="shared" si="11"/>
        <v>0</v>
      </c>
      <c r="BH725" s="297" t="str">
        <f t="shared" si="12"/>
        <v/>
      </c>
      <c r="BI725" s="3"/>
      <c r="BJ725" s="3"/>
      <c r="BK725" s="3"/>
      <c r="BL725" s="3"/>
      <c r="BM725" s="3"/>
      <c r="BN725" s="3"/>
      <c r="BS725" s="293">
        <f t="shared" si="13"/>
        <v>0</v>
      </c>
      <c r="BT725" s="296">
        <f t="shared" si="14"/>
        <v>0</v>
      </c>
      <c r="BU725" s="297" t="str">
        <f t="shared" si="15"/>
        <v/>
      </c>
      <c r="BV725" s="291"/>
      <c r="BW725" s="3"/>
      <c r="BX725" s="3"/>
      <c r="BY725" s="3"/>
      <c r="BZ725" s="3"/>
      <c r="CA725" s="3"/>
      <c r="CB725" s="3"/>
      <c r="CC725" s="3"/>
      <c r="CE725" s="3"/>
      <c r="CF725" s="3"/>
      <c r="CG725" s="1490">
        <f t="shared" si="37"/>
        <v>0</v>
      </c>
      <c r="CH725" s="1491"/>
      <c r="CI725" s="1488">
        <f t="shared" si="38"/>
        <v>0</v>
      </c>
      <c r="CJ725" s="1489"/>
      <c r="CK725" s="1490">
        <f t="shared" si="16"/>
        <v>0</v>
      </c>
      <c r="CL725" s="1491"/>
      <c r="CM725" s="1488">
        <f t="shared" si="17"/>
        <v>0</v>
      </c>
      <c r="CN725" s="1489"/>
      <c r="CO725" s="3"/>
      <c r="CP725" s="1482">
        <f t="shared" si="18"/>
        <v>0</v>
      </c>
      <c r="CQ725" s="1483"/>
      <c r="CR725" s="1483"/>
      <c r="CS725" s="1483"/>
      <c r="CT725" s="1484"/>
      <c r="CU725" s="1486">
        <f t="shared" si="19"/>
        <v>0</v>
      </c>
      <c r="CV725" s="1486"/>
      <c r="CW725" s="1486"/>
      <c r="CX725" s="1486"/>
      <c r="CY725" s="1486"/>
      <c r="CZ725" s="1486">
        <f t="shared" si="20"/>
        <v>0</v>
      </c>
      <c r="DA725" s="1486"/>
      <c r="DB725" s="1486"/>
      <c r="DC725" s="1486"/>
      <c r="DD725" s="1486"/>
      <c r="DE725" s="1486">
        <f t="shared" si="21"/>
        <v>0</v>
      </c>
      <c r="DF725" s="1486"/>
      <c r="DG725" s="1486"/>
      <c r="DH725" s="1486"/>
      <c r="DI725" s="1486"/>
      <c r="DJ725" s="1486">
        <f t="shared" si="22"/>
        <v>0</v>
      </c>
      <c r="DK725" s="1486"/>
      <c r="DL725" s="1486"/>
      <c r="DM725" s="1486"/>
      <c r="DN725" s="1486"/>
      <c r="DO725" s="1486">
        <f t="shared" si="23"/>
        <v>0</v>
      </c>
      <c r="DP725" s="1486"/>
      <c r="DQ725" s="1486"/>
      <c r="DR725" s="1486"/>
      <c r="DS725" s="1486"/>
      <c r="DT725" s="6"/>
      <c r="DU725" s="1487">
        <f t="shared" si="24"/>
        <v>0</v>
      </c>
      <c r="DV725" s="1487"/>
      <c r="DW725" s="1487"/>
      <c r="DX725" s="1487"/>
      <c r="DY725" s="1487"/>
      <c r="DZ725" s="1487">
        <f t="shared" si="25"/>
        <v>0</v>
      </c>
      <c r="EA725" s="1487"/>
      <c r="EB725" s="1487"/>
      <c r="EC725" s="1487"/>
      <c r="ED725" s="1487"/>
      <c r="EE725" s="1487">
        <f t="shared" si="26"/>
        <v>0</v>
      </c>
      <c r="EF725" s="1487"/>
      <c r="EG725" s="1487"/>
      <c r="EH725" s="1487"/>
      <c r="EI725" s="1487"/>
      <c r="EJ725" s="1487">
        <f t="shared" si="27"/>
        <v>0</v>
      </c>
      <c r="EK725" s="1487"/>
      <c r="EL725" s="1487"/>
      <c r="EM725" s="1487"/>
      <c r="EN725" s="1487"/>
      <c r="EO725" s="1487">
        <f t="shared" si="28"/>
        <v>0</v>
      </c>
      <c r="EP725" s="1487"/>
      <c r="EQ725" s="1487"/>
      <c r="ER725" s="1487"/>
      <c r="ES725" s="1487"/>
      <c r="ET725" s="1487">
        <f t="shared" si="29"/>
        <v>0</v>
      </c>
      <c r="EU725" s="1487"/>
      <c r="EV725" s="1487"/>
      <c r="EW725" s="1487"/>
      <c r="EX725" s="1487"/>
      <c r="EZ725" s="1490" t="str">
        <f t="shared" si="30"/>
        <v/>
      </c>
      <c r="FA725" s="1492"/>
      <c r="FB725" s="1492"/>
      <c r="FC725" s="1492"/>
      <c r="FD725" s="1491"/>
      <c r="FE725" s="1490" t="str">
        <f t="shared" si="31"/>
        <v/>
      </c>
      <c r="FF725" s="1492"/>
      <c r="FG725" s="1492"/>
      <c r="FH725" s="1492"/>
      <c r="FI725" s="1491"/>
      <c r="FJ725" s="1490" t="str">
        <f t="shared" si="32"/>
        <v/>
      </c>
      <c r="FK725" s="1492"/>
      <c r="FL725" s="1492"/>
      <c r="FM725" s="1492"/>
      <c r="FN725" s="1491"/>
      <c r="FO725" s="1490" t="str">
        <f t="shared" si="33"/>
        <v/>
      </c>
      <c r="FP725" s="1492"/>
      <c r="FQ725" s="1492"/>
      <c r="FR725" s="1492"/>
      <c r="FS725" s="1491"/>
      <c r="FT725" s="1490" t="str">
        <f t="shared" si="34"/>
        <v/>
      </c>
      <c r="FU725" s="1492"/>
      <c r="FV725" s="1492"/>
      <c r="FW725" s="1492"/>
      <c r="FX725" s="1491"/>
      <c r="FY725" s="1490" t="str">
        <f t="shared" si="35"/>
        <v/>
      </c>
      <c r="FZ725" s="1492"/>
      <c r="GA725" s="1492"/>
      <c r="GB725" s="1492"/>
      <c r="GC725" s="1491"/>
    </row>
    <row r="726" spans="1:185" ht="12.95" customHeight="1">
      <c r="B726" s="1350"/>
      <c r="C726" s="1351"/>
      <c r="D726" s="1351"/>
      <c r="E726" s="1351"/>
      <c r="F726" s="1352"/>
      <c r="G726" s="1354"/>
      <c r="H726" s="1355"/>
      <c r="I726" s="1355"/>
      <c r="J726" s="1356"/>
      <c r="K726" s="1344"/>
      <c r="L726" s="1345"/>
      <c r="M726" s="1345"/>
      <c r="N726" s="1346"/>
      <c r="O726" s="1341"/>
      <c r="P726" s="1342"/>
      <c r="Q726" s="1342"/>
      <c r="R726" s="1342"/>
      <c r="S726" s="1343"/>
      <c r="T726" s="1341"/>
      <c r="U726" s="1342"/>
      <c r="V726" s="1342"/>
      <c r="W726" s="1343"/>
      <c r="X726" s="1357">
        <f t="shared" si="8"/>
        <v>0</v>
      </c>
      <c r="Y726" s="1358"/>
      <c r="Z726" s="1358"/>
      <c r="AA726" s="1358"/>
      <c r="AB726" s="1359"/>
      <c r="AC726" s="1364"/>
      <c r="AD726" s="1365"/>
      <c r="AE726" s="1365"/>
      <c r="AF726" s="1365"/>
      <c r="AG726" s="1366"/>
      <c r="AH726" s="1360" t="str">
        <f t="shared" si="36"/>
        <v/>
      </c>
      <c r="AI726" s="1361"/>
      <c r="AJ726" s="1362"/>
      <c r="AK726" s="1350" t="s">
        <v>592</v>
      </c>
      <c r="AL726" s="1351"/>
      <c r="AM726" s="1351"/>
      <c r="AN726" s="1351"/>
      <c r="AO726" s="1352"/>
      <c r="AP726" s="3"/>
      <c r="AQ726" s="3"/>
      <c r="AR726" s="3"/>
      <c r="AS726" s="3"/>
      <c r="AY726" s="1084"/>
      <c r="AZ726" s="118" t="str">
        <f t="shared" si="9"/>
        <v>N/A</v>
      </c>
      <c r="BA726" s="3"/>
      <c r="BB726" s="3"/>
      <c r="BC726" s="3"/>
      <c r="BD726" s="3"/>
      <c r="BE726" s="204"/>
      <c r="BF726" s="293">
        <f t="shared" si="10"/>
        <v>0</v>
      </c>
      <c r="BG726" s="296">
        <f t="shared" si="11"/>
        <v>0</v>
      </c>
      <c r="BH726" s="297" t="str">
        <f t="shared" si="12"/>
        <v/>
      </c>
      <c r="BI726" s="3"/>
      <c r="BJ726" s="3"/>
      <c r="BK726" s="3"/>
      <c r="BL726" s="3"/>
      <c r="BM726" s="3"/>
      <c r="BN726" s="3"/>
      <c r="BS726" s="293">
        <f t="shared" si="13"/>
        <v>0</v>
      </c>
      <c r="BT726" s="296">
        <f t="shared" si="14"/>
        <v>0</v>
      </c>
      <c r="BU726" s="297" t="str">
        <f t="shared" si="15"/>
        <v/>
      </c>
      <c r="BV726" s="3"/>
      <c r="BW726" s="3"/>
      <c r="BX726" s="3"/>
      <c r="BY726" s="3"/>
      <c r="BZ726" s="3"/>
      <c r="CA726" s="3"/>
      <c r="CB726" s="3"/>
      <c r="CC726" s="3"/>
      <c r="CE726" s="3"/>
      <c r="CF726" s="3"/>
      <c r="CG726" s="1490">
        <f t="shared" si="37"/>
        <v>0</v>
      </c>
      <c r="CH726" s="1491"/>
      <c r="CI726" s="1488">
        <f t="shared" si="38"/>
        <v>0</v>
      </c>
      <c r="CJ726" s="1489"/>
      <c r="CK726" s="1490">
        <f t="shared" si="16"/>
        <v>0</v>
      </c>
      <c r="CL726" s="1491"/>
      <c r="CM726" s="1488">
        <f t="shared" si="17"/>
        <v>0</v>
      </c>
      <c r="CN726" s="1489"/>
      <c r="CO726" s="3"/>
      <c r="CP726" s="1482">
        <f t="shared" si="18"/>
        <v>0</v>
      </c>
      <c r="CQ726" s="1483"/>
      <c r="CR726" s="1483"/>
      <c r="CS726" s="1483"/>
      <c r="CT726" s="1484"/>
      <c r="CU726" s="1486">
        <f t="shared" si="19"/>
        <v>0</v>
      </c>
      <c r="CV726" s="1486"/>
      <c r="CW726" s="1486"/>
      <c r="CX726" s="1486"/>
      <c r="CY726" s="1486"/>
      <c r="CZ726" s="1486">
        <f t="shared" si="20"/>
        <v>0</v>
      </c>
      <c r="DA726" s="1486"/>
      <c r="DB726" s="1486"/>
      <c r="DC726" s="1486"/>
      <c r="DD726" s="1486"/>
      <c r="DE726" s="1486">
        <f t="shared" si="21"/>
        <v>0</v>
      </c>
      <c r="DF726" s="1486"/>
      <c r="DG726" s="1486"/>
      <c r="DH726" s="1486"/>
      <c r="DI726" s="1486"/>
      <c r="DJ726" s="1486">
        <f t="shared" si="22"/>
        <v>0</v>
      </c>
      <c r="DK726" s="1486"/>
      <c r="DL726" s="1486"/>
      <c r="DM726" s="1486"/>
      <c r="DN726" s="1486"/>
      <c r="DO726" s="1486">
        <f t="shared" si="23"/>
        <v>0</v>
      </c>
      <c r="DP726" s="1486"/>
      <c r="DQ726" s="1486"/>
      <c r="DR726" s="1486"/>
      <c r="DS726" s="1486"/>
      <c r="DT726" s="6"/>
      <c r="DU726" s="1487">
        <f t="shared" si="24"/>
        <v>0</v>
      </c>
      <c r="DV726" s="1487"/>
      <c r="DW726" s="1487"/>
      <c r="DX726" s="1487"/>
      <c r="DY726" s="1487"/>
      <c r="DZ726" s="1487">
        <f t="shared" si="25"/>
        <v>0</v>
      </c>
      <c r="EA726" s="1487"/>
      <c r="EB726" s="1487"/>
      <c r="EC726" s="1487"/>
      <c r="ED726" s="1487"/>
      <c r="EE726" s="1487">
        <f t="shared" si="26"/>
        <v>0</v>
      </c>
      <c r="EF726" s="1487"/>
      <c r="EG726" s="1487"/>
      <c r="EH726" s="1487"/>
      <c r="EI726" s="1487"/>
      <c r="EJ726" s="1487">
        <f t="shared" si="27"/>
        <v>0</v>
      </c>
      <c r="EK726" s="1487"/>
      <c r="EL726" s="1487"/>
      <c r="EM726" s="1487"/>
      <c r="EN726" s="1487"/>
      <c r="EO726" s="1487">
        <f t="shared" si="28"/>
        <v>0</v>
      </c>
      <c r="EP726" s="1487"/>
      <c r="EQ726" s="1487"/>
      <c r="ER726" s="1487"/>
      <c r="ES726" s="1487"/>
      <c r="ET726" s="1487">
        <f t="shared" si="29"/>
        <v>0</v>
      </c>
      <c r="EU726" s="1487"/>
      <c r="EV726" s="1487"/>
      <c r="EW726" s="1487"/>
      <c r="EX726" s="1487"/>
      <c r="EY726" s="4"/>
      <c r="EZ726" s="1490" t="str">
        <f t="shared" si="30"/>
        <v/>
      </c>
      <c r="FA726" s="1492"/>
      <c r="FB726" s="1492"/>
      <c r="FC726" s="1492"/>
      <c r="FD726" s="1491"/>
      <c r="FE726" s="1490" t="str">
        <f t="shared" si="31"/>
        <v/>
      </c>
      <c r="FF726" s="1492"/>
      <c r="FG726" s="1492"/>
      <c r="FH726" s="1492"/>
      <c r="FI726" s="1491"/>
      <c r="FJ726" s="1490" t="str">
        <f t="shared" si="32"/>
        <v/>
      </c>
      <c r="FK726" s="1492"/>
      <c r="FL726" s="1492"/>
      <c r="FM726" s="1492"/>
      <c r="FN726" s="1491"/>
      <c r="FO726" s="1490" t="str">
        <f t="shared" si="33"/>
        <v/>
      </c>
      <c r="FP726" s="1492"/>
      <c r="FQ726" s="1492"/>
      <c r="FR726" s="1492"/>
      <c r="FS726" s="1491"/>
      <c r="FT726" s="1490" t="str">
        <f t="shared" si="34"/>
        <v/>
      </c>
      <c r="FU726" s="1492"/>
      <c r="FV726" s="1492"/>
      <c r="FW726" s="1492"/>
      <c r="FX726" s="1491"/>
      <c r="FY726" s="1490" t="str">
        <f t="shared" si="35"/>
        <v/>
      </c>
      <c r="FZ726" s="1492"/>
      <c r="GA726" s="1492"/>
      <c r="GB726" s="1492"/>
      <c r="GC726" s="1491"/>
    </row>
    <row r="727" spans="1:185" ht="12.95" customHeight="1">
      <c r="A727" s="4"/>
      <c r="B727" s="1350"/>
      <c r="C727" s="1351"/>
      <c r="D727" s="1351"/>
      <c r="E727" s="1351"/>
      <c r="F727" s="1352"/>
      <c r="G727" s="1354"/>
      <c r="H727" s="1355"/>
      <c r="I727" s="1355"/>
      <c r="J727" s="1356"/>
      <c r="K727" s="1344"/>
      <c r="L727" s="1345"/>
      <c r="M727" s="1345"/>
      <c r="N727" s="1346"/>
      <c r="O727" s="1341"/>
      <c r="P727" s="1342"/>
      <c r="Q727" s="1342"/>
      <c r="R727" s="1342"/>
      <c r="S727" s="1343"/>
      <c r="T727" s="1341"/>
      <c r="U727" s="1342"/>
      <c r="V727" s="1342"/>
      <c r="W727" s="1343"/>
      <c r="X727" s="1357">
        <f t="shared" si="8"/>
        <v>0</v>
      </c>
      <c r="Y727" s="1358"/>
      <c r="Z727" s="1358"/>
      <c r="AA727" s="1358"/>
      <c r="AB727" s="1359"/>
      <c r="AC727" s="1364"/>
      <c r="AD727" s="1365"/>
      <c r="AE727" s="1365"/>
      <c r="AF727" s="1365"/>
      <c r="AG727" s="1366"/>
      <c r="AH727" s="1360" t="str">
        <f t="shared" si="36"/>
        <v/>
      </c>
      <c r="AI727" s="1361"/>
      <c r="AJ727" s="1362"/>
      <c r="AK727" s="1350" t="s">
        <v>592</v>
      </c>
      <c r="AL727" s="1351"/>
      <c r="AM727" s="1351"/>
      <c r="AN727" s="1351"/>
      <c r="AO727" s="1352"/>
      <c r="AP727" s="3"/>
      <c r="AQ727" s="3"/>
      <c r="AR727" s="3"/>
      <c r="AS727" s="3"/>
      <c r="AY727" s="1084"/>
      <c r="AZ727" s="118" t="str">
        <f t="shared" si="9"/>
        <v>N/A</v>
      </c>
      <c r="BA727" s="3"/>
      <c r="BB727" s="3"/>
      <c r="BC727" s="3"/>
      <c r="BD727" s="3"/>
      <c r="BE727" s="204"/>
      <c r="BF727" s="293">
        <f t="shared" si="10"/>
        <v>0</v>
      </c>
      <c r="BG727" s="296">
        <f t="shared" si="11"/>
        <v>0</v>
      </c>
      <c r="BH727" s="297" t="str">
        <f t="shared" si="12"/>
        <v/>
      </c>
      <c r="BI727" s="3"/>
      <c r="BJ727" s="3"/>
      <c r="BK727" s="3"/>
      <c r="BL727" s="3"/>
      <c r="BM727" s="3"/>
      <c r="BN727" s="3"/>
      <c r="BS727" s="293">
        <f t="shared" si="13"/>
        <v>0</v>
      </c>
      <c r="BT727" s="296">
        <f t="shared" si="14"/>
        <v>0</v>
      </c>
      <c r="BU727" s="297" t="str">
        <f t="shared" si="15"/>
        <v/>
      </c>
      <c r="BV727" s="3"/>
      <c r="BW727" s="3"/>
      <c r="BX727" s="3"/>
      <c r="BY727" s="3"/>
      <c r="BZ727" s="3"/>
      <c r="CA727" s="3"/>
      <c r="CB727" s="3"/>
      <c r="CC727" s="3"/>
      <c r="CE727" s="3"/>
      <c r="CF727" s="3"/>
      <c r="CG727" s="1490">
        <f t="shared" si="37"/>
        <v>0</v>
      </c>
      <c r="CH727" s="1491"/>
      <c r="CI727" s="1488">
        <f t="shared" si="38"/>
        <v>0</v>
      </c>
      <c r="CJ727" s="1489"/>
      <c r="CK727" s="1490">
        <f t="shared" si="16"/>
        <v>0</v>
      </c>
      <c r="CL727" s="1491"/>
      <c r="CM727" s="1488">
        <f t="shared" si="17"/>
        <v>0</v>
      </c>
      <c r="CN727" s="1489"/>
      <c r="CO727" s="3"/>
      <c r="CP727" s="1482">
        <f t="shared" si="18"/>
        <v>0</v>
      </c>
      <c r="CQ727" s="1483"/>
      <c r="CR727" s="1483"/>
      <c r="CS727" s="1483"/>
      <c r="CT727" s="1484"/>
      <c r="CU727" s="1486">
        <f t="shared" si="19"/>
        <v>0</v>
      </c>
      <c r="CV727" s="1486"/>
      <c r="CW727" s="1486"/>
      <c r="CX727" s="1486"/>
      <c r="CY727" s="1486"/>
      <c r="CZ727" s="1486">
        <f t="shared" si="20"/>
        <v>0</v>
      </c>
      <c r="DA727" s="1486"/>
      <c r="DB727" s="1486"/>
      <c r="DC727" s="1486"/>
      <c r="DD727" s="1486"/>
      <c r="DE727" s="1486">
        <f t="shared" si="21"/>
        <v>0</v>
      </c>
      <c r="DF727" s="1486"/>
      <c r="DG727" s="1486"/>
      <c r="DH727" s="1486"/>
      <c r="DI727" s="1486"/>
      <c r="DJ727" s="1486">
        <f t="shared" si="22"/>
        <v>0</v>
      </c>
      <c r="DK727" s="1486"/>
      <c r="DL727" s="1486"/>
      <c r="DM727" s="1486"/>
      <c r="DN727" s="1486"/>
      <c r="DO727" s="1486">
        <f t="shared" si="23"/>
        <v>0</v>
      </c>
      <c r="DP727" s="1486"/>
      <c r="DQ727" s="1486"/>
      <c r="DR727" s="1486"/>
      <c r="DS727" s="1486"/>
      <c r="DT727" s="6"/>
      <c r="DU727" s="1487">
        <f t="shared" si="24"/>
        <v>0</v>
      </c>
      <c r="DV727" s="1487"/>
      <c r="DW727" s="1487"/>
      <c r="DX727" s="1487"/>
      <c r="DY727" s="1487"/>
      <c r="DZ727" s="1487">
        <f t="shared" si="25"/>
        <v>0</v>
      </c>
      <c r="EA727" s="1487"/>
      <c r="EB727" s="1487"/>
      <c r="EC727" s="1487"/>
      <c r="ED727" s="1487"/>
      <c r="EE727" s="1487">
        <f t="shared" si="26"/>
        <v>0</v>
      </c>
      <c r="EF727" s="1487"/>
      <c r="EG727" s="1487"/>
      <c r="EH727" s="1487"/>
      <c r="EI727" s="1487"/>
      <c r="EJ727" s="1487">
        <f t="shared" si="27"/>
        <v>0</v>
      </c>
      <c r="EK727" s="1487"/>
      <c r="EL727" s="1487"/>
      <c r="EM727" s="1487"/>
      <c r="EN727" s="1487"/>
      <c r="EO727" s="1487">
        <f t="shared" si="28"/>
        <v>0</v>
      </c>
      <c r="EP727" s="1487"/>
      <c r="EQ727" s="1487"/>
      <c r="ER727" s="1487"/>
      <c r="ES727" s="1487"/>
      <c r="ET727" s="1487">
        <f t="shared" si="29"/>
        <v>0</v>
      </c>
      <c r="EU727" s="1487"/>
      <c r="EV727" s="1487"/>
      <c r="EW727" s="1487"/>
      <c r="EX727" s="1487"/>
      <c r="EY727" s="4"/>
      <c r="EZ727" s="1490" t="str">
        <f t="shared" si="30"/>
        <v/>
      </c>
      <c r="FA727" s="1492"/>
      <c r="FB727" s="1492"/>
      <c r="FC727" s="1492"/>
      <c r="FD727" s="1491"/>
      <c r="FE727" s="1490" t="str">
        <f t="shared" si="31"/>
        <v/>
      </c>
      <c r="FF727" s="1492"/>
      <c r="FG727" s="1492"/>
      <c r="FH727" s="1492"/>
      <c r="FI727" s="1491"/>
      <c r="FJ727" s="1490" t="str">
        <f t="shared" si="32"/>
        <v/>
      </c>
      <c r="FK727" s="1492"/>
      <c r="FL727" s="1492"/>
      <c r="FM727" s="1492"/>
      <c r="FN727" s="1491"/>
      <c r="FO727" s="1490" t="str">
        <f t="shared" si="33"/>
        <v/>
      </c>
      <c r="FP727" s="1492"/>
      <c r="FQ727" s="1492"/>
      <c r="FR727" s="1492"/>
      <c r="FS727" s="1491"/>
      <c r="FT727" s="1490" t="str">
        <f t="shared" si="34"/>
        <v/>
      </c>
      <c r="FU727" s="1492"/>
      <c r="FV727" s="1492"/>
      <c r="FW727" s="1492"/>
      <c r="FX727" s="1491"/>
      <c r="FY727" s="1490" t="str">
        <f t="shared" si="35"/>
        <v/>
      </c>
      <c r="FZ727" s="1492"/>
      <c r="GA727" s="1492"/>
      <c r="GB727" s="1492"/>
      <c r="GC727" s="1491"/>
    </row>
    <row r="728" spans="1:185" ht="12.95" customHeight="1">
      <c r="A728" s="4"/>
      <c r="B728" s="1350"/>
      <c r="C728" s="1351"/>
      <c r="D728" s="1351"/>
      <c r="E728" s="1351"/>
      <c r="F728" s="1352"/>
      <c r="G728" s="1354"/>
      <c r="H728" s="1355"/>
      <c r="I728" s="1355"/>
      <c r="J728" s="1356"/>
      <c r="K728" s="1344"/>
      <c r="L728" s="1345"/>
      <c r="M728" s="1345"/>
      <c r="N728" s="1346"/>
      <c r="O728" s="1341"/>
      <c r="P728" s="1342"/>
      <c r="Q728" s="1342"/>
      <c r="R728" s="1342"/>
      <c r="S728" s="1343"/>
      <c r="T728" s="1341"/>
      <c r="U728" s="1342"/>
      <c r="V728" s="1342"/>
      <c r="W728" s="1343"/>
      <c r="X728" s="1357">
        <f t="shared" si="8"/>
        <v>0</v>
      </c>
      <c r="Y728" s="1358"/>
      <c r="Z728" s="1358"/>
      <c r="AA728" s="1358"/>
      <c r="AB728" s="1359"/>
      <c r="AC728" s="1364"/>
      <c r="AD728" s="1365"/>
      <c r="AE728" s="1365"/>
      <c r="AF728" s="1365"/>
      <c r="AG728" s="1366"/>
      <c r="AH728" s="1360" t="str">
        <f t="shared" si="36"/>
        <v/>
      </c>
      <c r="AI728" s="1361"/>
      <c r="AJ728" s="1362"/>
      <c r="AK728" s="1350" t="s">
        <v>592</v>
      </c>
      <c r="AL728" s="1351"/>
      <c r="AM728" s="1351"/>
      <c r="AN728" s="1351"/>
      <c r="AO728" s="1352"/>
      <c r="AP728" s="3"/>
      <c r="AQ728" s="3"/>
      <c r="AR728" s="3"/>
      <c r="AS728" s="3"/>
      <c r="AY728" s="1084"/>
      <c r="AZ728" s="118" t="str">
        <f t="shared" si="9"/>
        <v>N/A</v>
      </c>
      <c r="BA728" s="3"/>
      <c r="BB728" s="3"/>
      <c r="BC728" s="3"/>
      <c r="BD728" s="3"/>
      <c r="BE728" s="204"/>
      <c r="BF728" s="293">
        <f t="shared" si="10"/>
        <v>0</v>
      </c>
      <c r="BG728" s="296">
        <f t="shared" si="11"/>
        <v>0</v>
      </c>
      <c r="BH728" s="297" t="str">
        <f t="shared" si="12"/>
        <v/>
      </c>
      <c r="BI728" s="3"/>
      <c r="BJ728" s="3"/>
      <c r="BK728" s="3"/>
      <c r="BL728" s="3"/>
      <c r="BM728" s="3"/>
      <c r="BN728" s="3"/>
      <c r="BS728" s="293">
        <f t="shared" si="13"/>
        <v>0</v>
      </c>
      <c r="BT728" s="296">
        <f t="shared" si="14"/>
        <v>0</v>
      </c>
      <c r="BU728" s="297" t="str">
        <f t="shared" si="15"/>
        <v/>
      </c>
      <c r="BV728" s="3"/>
      <c r="BW728" s="3"/>
      <c r="BX728" s="3"/>
      <c r="BY728" s="3"/>
      <c r="BZ728" s="3"/>
      <c r="CA728" s="3"/>
      <c r="CB728" s="3"/>
      <c r="CC728" s="3"/>
      <c r="CE728" s="3"/>
      <c r="CF728" s="3"/>
      <c r="CG728" s="1490">
        <f t="shared" si="37"/>
        <v>0</v>
      </c>
      <c r="CH728" s="1491"/>
      <c r="CI728" s="1488">
        <f t="shared" si="38"/>
        <v>0</v>
      </c>
      <c r="CJ728" s="1489"/>
      <c r="CK728" s="1490">
        <f t="shared" si="16"/>
        <v>0</v>
      </c>
      <c r="CL728" s="1491"/>
      <c r="CM728" s="1488">
        <f t="shared" si="17"/>
        <v>0</v>
      </c>
      <c r="CN728" s="1489"/>
      <c r="CO728" s="3"/>
      <c r="CP728" s="1482">
        <f t="shared" si="18"/>
        <v>0</v>
      </c>
      <c r="CQ728" s="1483"/>
      <c r="CR728" s="1483"/>
      <c r="CS728" s="1483"/>
      <c r="CT728" s="1484"/>
      <c r="CU728" s="1486">
        <f t="shared" si="19"/>
        <v>0</v>
      </c>
      <c r="CV728" s="1486"/>
      <c r="CW728" s="1486"/>
      <c r="CX728" s="1486"/>
      <c r="CY728" s="1486"/>
      <c r="CZ728" s="1486">
        <f t="shared" si="20"/>
        <v>0</v>
      </c>
      <c r="DA728" s="1486"/>
      <c r="DB728" s="1486"/>
      <c r="DC728" s="1486"/>
      <c r="DD728" s="1486"/>
      <c r="DE728" s="1486">
        <f t="shared" si="21"/>
        <v>0</v>
      </c>
      <c r="DF728" s="1486"/>
      <c r="DG728" s="1486"/>
      <c r="DH728" s="1486"/>
      <c r="DI728" s="1486"/>
      <c r="DJ728" s="1486">
        <f t="shared" si="22"/>
        <v>0</v>
      </c>
      <c r="DK728" s="1486"/>
      <c r="DL728" s="1486"/>
      <c r="DM728" s="1486"/>
      <c r="DN728" s="1486"/>
      <c r="DO728" s="1486">
        <f t="shared" si="23"/>
        <v>0</v>
      </c>
      <c r="DP728" s="1486"/>
      <c r="DQ728" s="1486"/>
      <c r="DR728" s="1486"/>
      <c r="DS728" s="1486"/>
      <c r="DT728" s="6"/>
      <c r="DU728" s="1487">
        <f t="shared" si="24"/>
        <v>0</v>
      </c>
      <c r="DV728" s="1487"/>
      <c r="DW728" s="1487"/>
      <c r="DX728" s="1487"/>
      <c r="DY728" s="1487"/>
      <c r="DZ728" s="1487">
        <f t="shared" si="25"/>
        <v>0</v>
      </c>
      <c r="EA728" s="1487"/>
      <c r="EB728" s="1487"/>
      <c r="EC728" s="1487"/>
      <c r="ED728" s="1487"/>
      <c r="EE728" s="1487">
        <f t="shared" si="26"/>
        <v>0</v>
      </c>
      <c r="EF728" s="1487"/>
      <c r="EG728" s="1487"/>
      <c r="EH728" s="1487"/>
      <c r="EI728" s="1487"/>
      <c r="EJ728" s="1487">
        <f t="shared" si="27"/>
        <v>0</v>
      </c>
      <c r="EK728" s="1487"/>
      <c r="EL728" s="1487"/>
      <c r="EM728" s="1487"/>
      <c r="EN728" s="1487"/>
      <c r="EO728" s="1487">
        <f t="shared" si="28"/>
        <v>0</v>
      </c>
      <c r="EP728" s="1487"/>
      <c r="EQ728" s="1487"/>
      <c r="ER728" s="1487"/>
      <c r="ES728" s="1487"/>
      <c r="ET728" s="1487">
        <f t="shared" si="29"/>
        <v>0</v>
      </c>
      <c r="EU728" s="1487"/>
      <c r="EV728" s="1487"/>
      <c r="EW728" s="1487"/>
      <c r="EX728" s="1487"/>
      <c r="EY728" s="4"/>
      <c r="EZ728" s="1490" t="str">
        <f t="shared" si="30"/>
        <v/>
      </c>
      <c r="FA728" s="1492"/>
      <c r="FB728" s="1492"/>
      <c r="FC728" s="1492"/>
      <c r="FD728" s="1491"/>
      <c r="FE728" s="1490" t="str">
        <f t="shared" si="31"/>
        <v/>
      </c>
      <c r="FF728" s="1492"/>
      <c r="FG728" s="1492"/>
      <c r="FH728" s="1492"/>
      <c r="FI728" s="1491"/>
      <c r="FJ728" s="1490" t="str">
        <f t="shared" si="32"/>
        <v/>
      </c>
      <c r="FK728" s="1492"/>
      <c r="FL728" s="1492"/>
      <c r="FM728" s="1492"/>
      <c r="FN728" s="1491"/>
      <c r="FO728" s="1490" t="str">
        <f t="shared" si="33"/>
        <v/>
      </c>
      <c r="FP728" s="1492"/>
      <c r="FQ728" s="1492"/>
      <c r="FR728" s="1492"/>
      <c r="FS728" s="1491"/>
      <c r="FT728" s="1490" t="str">
        <f t="shared" si="34"/>
        <v/>
      </c>
      <c r="FU728" s="1492"/>
      <c r="FV728" s="1492"/>
      <c r="FW728" s="1492"/>
      <c r="FX728" s="1491"/>
      <c r="FY728" s="1490" t="str">
        <f t="shared" si="35"/>
        <v/>
      </c>
      <c r="FZ728" s="1492"/>
      <c r="GA728" s="1492"/>
      <c r="GB728" s="1492"/>
      <c r="GC728" s="1491"/>
    </row>
    <row r="729" spans="1:185" ht="12.95" customHeight="1">
      <c r="A729" s="4"/>
      <c r="B729" s="1350"/>
      <c r="C729" s="1351"/>
      <c r="D729" s="1351"/>
      <c r="E729" s="1351"/>
      <c r="F729" s="1352"/>
      <c r="G729" s="1354"/>
      <c r="H729" s="1355"/>
      <c r="I729" s="1355"/>
      <c r="J729" s="1356"/>
      <c r="K729" s="1344"/>
      <c r="L729" s="1345"/>
      <c r="M729" s="1345"/>
      <c r="N729" s="1346"/>
      <c r="O729" s="1341"/>
      <c r="P729" s="1342"/>
      <c r="Q729" s="1342"/>
      <c r="R729" s="1342"/>
      <c r="S729" s="1343"/>
      <c r="T729" s="1341"/>
      <c r="U729" s="1342"/>
      <c r="V729" s="1342"/>
      <c r="W729" s="1343"/>
      <c r="X729" s="1357">
        <f t="shared" si="8"/>
        <v>0</v>
      </c>
      <c r="Y729" s="1358"/>
      <c r="Z729" s="1358"/>
      <c r="AA729" s="1358"/>
      <c r="AB729" s="1359"/>
      <c r="AC729" s="1364"/>
      <c r="AD729" s="1365"/>
      <c r="AE729" s="1365"/>
      <c r="AF729" s="1365"/>
      <c r="AG729" s="1366"/>
      <c r="AH729" s="1360" t="str">
        <f t="shared" si="36"/>
        <v/>
      </c>
      <c r="AI729" s="1361"/>
      <c r="AJ729" s="1362"/>
      <c r="AK729" s="1350" t="s">
        <v>592</v>
      </c>
      <c r="AL729" s="1351"/>
      <c r="AM729" s="1351"/>
      <c r="AN729" s="1351"/>
      <c r="AO729" s="1352"/>
      <c r="AP729" s="3"/>
      <c r="AQ729" s="3"/>
      <c r="AR729" s="3"/>
      <c r="AS729" s="3"/>
      <c r="AY729" s="1084"/>
      <c r="AZ729" s="118" t="str">
        <f t="shared" si="9"/>
        <v>N/A</v>
      </c>
      <c r="BA729" s="3"/>
      <c r="BB729" s="3"/>
      <c r="BC729" s="3"/>
      <c r="BD729" s="3"/>
      <c r="BE729" s="204"/>
      <c r="BF729" s="293">
        <f t="shared" si="10"/>
        <v>0</v>
      </c>
      <c r="BG729" s="296">
        <f t="shared" si="11"/>
        <v>0</v>
      </c>
      <c r="BH729" s="297" t="str">
        <f t="shared" si="12"/>
        <v/>
      </c>
      <c r="BI729" s="3"/>
      <c r="BJ729" s="3"/>
      <c r="BK729" s="3"/>
      <c r="BL729" s="3"/>
      <c r="BM729" s="3"/>
      <c r="BN729" s="3"/>
      <c r="BS729" s="293">
        <f t="shared" si="13"/>
        <v>0</v>
      </c>
      <c r="BT729" s="296">
        <f t="shared" si="14"/>
        <v>0</v>
      </c>
      <c r="BU729" s="297" t="str">
        <f t="shared" si="15"/>
        <v/>
      </c>
      <c r="BV729" s="3"/>
      <c r="BW729" s="3"/>
      <c r="BX729" s="3"/>
      <c r="BY729" s="3"/>
      <c r="BZ729" s="3"/>
      <c r="CA729" s="3"/>
      <c r="CB729" s="3"/>
      <c r="CC729" s="3"/>
      <c r="CE729" s="3"/>
      <c r="CF729" s="3"/>
      <c r="CG729" s="1490">
        <f t="shared" si="37"/>
        <v>0</v>
      </c>
      <c r="CH729" s="1491"/>
      <c r="CI729" s="1488">
        <f t="shared" si="38"/>
        <v>0</v>
      </c>
      <c r="CJ729" s="1489"/>
      <c r="CK729" s="1490">
        <f t="shared" si="16"/>
        <v>0</v>
      </c>
      <c r="CL729" s="1491"/>
      <c r="CM729" s="1488">
        <f t="shared" si="17"/>
        <v>0</v>
      </c>
      <c r="CN729" s="1489"/>
      <c r="CO729" s="3"/>
      <c r="CP729" s="1482">
        <f t="shared" si="18"/>
        <v>0</v>
      </c>
      <c r="CQ729" s="1483"/>
      <c r="CR729" s="1483"/>
      <c r="CS729" s="1483"/>
      <c r="CT729" s="1484"/>
      <c r="CU729" s="1486">
        <f t="shared" si="19"/>
        <v>0</v>
      </c>
      <c r="CV729" s="1486"/>
      <c r="CW729" s="1486"/>
      <c r="CX729" s="1486"/>
      <c r="CY729" s="1486"/>
      <c r="CZ729" s="1486">
        <f t="shared" si="20"/>
        <v>0</v>
      </c>
      <c r="DA729" s="1486"/>
      <c r="DB729" s="1486"/>
      <c r="DC729" s="1486"/>
      <c r="DD729" s="1486"/>
      <c r="DE729" s="1486">
        <f t="shared" si="21"/>
        <v>0</v>
      </c>
      <c r="DF729" s="1486"/>
      <c r="DG729" s="1486"/>
      <c r="DH729" s="1486"/>
      <c r="DI729" s="1486"/>
      <c r="DJ729" s="1486">
        <f t="shared" si="22"/>
        <v>0</v>
      </c>
      <c r="DK729" s="1486"/>
      <c r="DL729" s="1486"/>
      <c r="DM729" s="1486"/>
      <c r="DN729" s="1486"/>
      <c r="DO729" s="1486">
        <f t="shared" si="23"/>
        <v>0</v>
      </c>
      <c r="DP729" s="1486"/>
      <c r="DQ729" s="1486"/>
      <c r="DR729" s="1486"/>
      <c r="DS729" s="1486"/>
      <c r="DT729" s="6"/>
      <c r="DU729" s="1487">
        <f t="shared" si="24"/>
        <v>0</v>
      </c>
      <c r="DV729" s="1487"/>
      <c r="DW729" s="1487"/>
      <c r="DX729" s="1487"/>
      <c r="DY729" s="1487"/>
      <c r="DZ729" s="1487">
        <f t="shared" si="25"/>
        <v>0</v>
      </c>
      <c r="EA729" s="1487"/>
      <c r="EB729" s="1487"/>
      <c r="EC729" s="1487"/>
      <c r="ED729" s="1487"/>
      <c r="EE729" s="1487">
        <f t="shared" si="26"/>
        <v>0</v>
      </c>
      <c r="EF729" s="1487"/>
      <c r="EG729" s="1487"/>
      <c r="EH729" s="1487"/>
      <c r="EI729" s="1487"/>
      <c r="EJ729" s="1487">
        <f t="shared" si="27"/>
        <v>0</v>
      </c>
      <c r="EK729" s="1487"/>
      <c r="EL729" s="1487"/>
      <c r="EM729" s="1487"/>
      <c r="EN729" s="1487"/>
      <c r="EO729" s="1487">
        <f t="shared" si="28"/>
        <v>0</v>
      </c>
      <c r="EP729" s="1487"/>
      <c r="EQ729" s="1487"/>
      <c r="ER729" s="1487"/>
      <c r="ES729" s="1487"/>
      <c r="ET729" s="1487">
        <f t="shared" si="29"/>
        <v>0</v>
      </c>
      <c r="EU729" s="1487"/>
      <c r="EV729" s="1487"/>
      <c r="EW729" s="1487"/>
      <c r="EX729" s="1487"/>
      <c r="EZ729" s="1490" t="str">
        <f t="shared" si="30"/>
        <v/>
      </c>
      <c r="FA729" s="1492"/>
      <c r="FB729" s="1492"/>
      <c r="FC729" s="1492"/>
      <c r="FD729" s="1491"/>
      <c r="FE729" s="1490" t="str">
        <f t="shared" si="31"/>
        <v/>
      </c>
      <c r="FF729" s="1492"/>
      <c r="FG729" s="1492"/>
      <c r="FH729" s="1492"/>
      <c r="FI729" s="1491"/>
      <c r="FJ729" s="1490" t="str">
        <f t="shared" si="32"/>
        <v/>
      </c>
      <c r="FK729" s="1492"/>
      <c r="FL729" s="1492"/>
      <c r="FM729" s="1492"/>
      <c r="FN729" s="1491"/>
      <c r="FO729" s="1490" t="str">
        <f t="shared" si="33"/>
        <v/>
      </c>
      <c r="FP729" s="1492"/>
      <c r="FQ729" s="1492"/>
      <c r="FR729" s="1492"/>
      <c r="FS729" s="1491"/>
      <c r="FT729" s="1490" t="str">
        <f t="shared" si="34"/>
        <v/>
      </c>
      <c r="FU729" s="1492"/>
      <c r="FV729" s="1492"/>
      <c r="FW729" s="1492"/>
      <c r="FX729" s="1491"/>
      <c r="FY729" s="1490" t="str">
        <f t="shared" si="35"/>
        <v/>
      </c>
      <c r="FZ729" s="1492"/>
      <c r="GA729" s="1492"/>
      <c r="GB729" s="1492"/>
      <c r="GC729" s="1491"/>
    </row>
    <row r="730" spans="1:185" ht="12.95" customHeight="1">
      <c r="B730" s="1350"/>
      <c r="C730" s="1351"/>
      <c r="D730" s="1351"/>
      <c r="E730" s="1351"/>
      <c r="F730" s="1352"/>
      <c r="G730" s="1354"/>
      <c r="H730" s="1355"/>
      <c r="I730" s="1355"/>
      <c r="J730" s="1356"/>
      <c r="K730" s="1344"/>
      <c r="L730" s="1345"/>
      <c r="M730" s="1345"/>
      <c r="N730" s="1346"/>
      <c r="O730" s="1341"/>
      <c r="P730" s="1342"/>
      <c r="Q730" s="1342"/>
      <c r="R730" s="1342"/>
      <c r="S730" s="1343"/>
      <c r="T730" s="1341"/>
      <c r="U730" s="1342"/>
      <c r="V730" s="1342"/>
      <c r="W730" s="1343"/>
      <c r="X730" s="1357">
        <f t="shared" si="8"/>
        <v>0</v>
      </c>
      <c r="Y730" s="1358"/>
      <c r="Z730" s="1358"/>
      <c r="AA730" s="1358"/>
      <c r="AB730" s="1359"/>
      <c r="AC730" s="1364"/>
      <c r="AD730" s="1365"/>
      <c r="AE730" s="1365"/>
      <c r="AF730" s="1365"/>
      <c r="AG730" s="1366"/>
      <c r="AH730" s="1360" t="str">
        <f t="shared" si="36"/>
        <v/>
      </c>
      <c r="AI730" s="1361"/>
      <c r="AJ730" s="1362"/>
      <c r="AK730" s="1350" t="s">
        <v>592</v>
      </c>
      <c r="AL730" s="1351"/>
      <c r="AM730" s="1351"/>
      <c r="AN730" s="1351"/>
      <c r="AO730" s="1352"/>
      <c r="AP730" s="3"/>
      <c r="AQ730" s="3"/>
      <c r="AR730" s="3"/>
      <c r="AS730" s="3"/>
      <c r="AY730" s="1084"/>
      <c r="AZ730" s="118" t="str">
        <f t="shared" si="9"/>
        <v>N/A</v>
      </c>
      <c r="BA730" s="3"/>
      <c r="BB730" s="3"/>
      <c r="BC730" s="3"/>
      <c r="BD730" s="3"/>
      <c r="BE730" s="204"/>
      <c r="BF730" s="293">
        <f t="shared" si="10"/>
        <v>0</v>
      </c>
      <c r="BG730" s="296">
        <f t="shared" si="11"/>
        <v>0</v>
      </c>
      <c r="BH730" s="297" t="str">
        <f t="shared" si="12"/>
        <v/>
      </c>
      <c r="BI730" s="3"/>
      <c r="BJ730" s="3"/>
      <c r="BK730" s="3"/>
      <c r="BL730" s="3"/>
      <c r="BM730" s="3"/>
      <c r="BN730" s="3"/>
      <c r="BS730" s="293">
        <f t="shared" si="13"/>
        <v>0</v>
      </c>
      <c r="BT730" s="296">
        <f t="shared" si="14"/>
        <v>0</v>
      </c>
      <c r="BU730" s="297" t="str">
        <f t="shared" si="15"/>
        <v/>
      </c>
      <c r="BV730" s="3"/>
      <c r="BW730" s="3"/>
      <c r="BX730" s="3"/>
      <c r="BY730" s="3"/>
      <c r="BZ730" s="3"/>
      <c r="CA730" s="3"/>
      <c r="CB730" s="3"/>
      <c r="CC730" s="3"/>
      <c r="CE730" s="3"/>
      <c r="CF730" s="3"/>
      <c r="CG730" s="1490">
        <f t="shared" si="37"/>
        <v>0</v>
      </c>
      <c r="CH730" s="1491"/>
      <c r="CI730" s="1488">
        <f t="shared" si="38"/>
        <v>0</v>
      </c>
      <c r="CJ730" s="1489"/>
      <c r="CK730" s="1490">
        <f t="shared" si="16"/>
        <v>0</v>
      </c>
      <c r="CL730" s="1491"/>
      <c r="CM730" s="1488">
        <f t="shared" si="17"/>
        <v>0</v>
      </c>
      <c r="CN730" s="1489"/>
      <c r="CO730" s="3"/>
      <c r="CP730" s="1482">
        <f t="shared" si="18"/>
        <v>0</v>
      </c>
      <c r="CQ730" s="1483"/>
      <c r="CR730" s="1483"/>
      <c r="CS730" s="1483"/>
      <c r="CT730" s="1484"/>
      <c r="CU730" s="1486">
        <f t="shared" si="19"/>
        <v>0</v>
      </c>
      <c r="CV730" s="1486"/>
      <c r="CW730" s="1486"/>
      <c r="CX730" s="1486"/>
      <c r="CY730" s="1486"/>
      <c r="CZ730" s="1486">
        <f t="shared" si="20"/>
        <v>0</v>
      </c>
      <c r="DA730" s="1486"/>
      <c r="DB730" s="1486"/>
      <c r="DC730" s="1486"/>
      <c r="DD730" s="1486"/>
      <c r="DE730" s="1486">
        <f t="shared" si="21"/>
        <v>0</v>
      </c>
      <c r="DF730" s="1486"/>
      <c r="DG730" s="1486"/>
      <c r="DH730" s="1486"/>
      <c r="DI730" s="1486"/>
      <c r="DJ730" s="1486">
        <f t="shared" si="22"/>
        <v>0</v>
      </c>
      <c r="DK730" s="1486"/>
      <c r="DL730" s="1486"/>
      <c r="DM730" s="1486"/>
      <c r="DN730" s="1486"/>
      <c r="DO730" s="1486">
        <f t="shared" si="23"/>
        <v>0</v>
      </c>
      <c r="DP730" s="1486"/>
      <c r="DQ730" s="1486"/>
      <c r="DR730" s="1486"/>
      <c r="DS730" s="1486"/>
      <c r="DT730" s="6"/>
      <c r="DU730" s="1487">
        <f t="shared" si="24"/>
        <v>0</v>
      </c>
      <c r="DV730" s="1487"/>
      <c r="DW730" s="1487"/>
      <c r="DX730" s="1487"/>
      <c r="DY730" s="1487"/>
      <c r="DZ730" s="1487">
        <f t="shared" si="25"/>
        <v>0</v>
      </c>
      <c r="EA730" s="1487"/>
      <c r="EB730" s="1487"/>
      <c r="EC730" s="1487"/>
      <c r="ED730" s="1487"/>
      <c r="EE730" s="1487">
        <f t="shared" si="26"/>
        <v>0</v>
      </c>
      <c r="EF730" s="1487"/>
      <c r="EG730" s="1487"/>
      <c r="EH730" s="1487"/>
      <c r="EI730" s="1487"/>
      <c r="EJ730" s="1487">
        <f t="shared" si="27"/>
        <v>0</v>
      </c>
      <c r="EK730" s="1487"/>
      <c r="EL730" s="1487"/>
      <c r="EM730" s="1487"/>
      <c r="EN730" s="1487"/>
      <c r="EO730" s="1487">
        <f t="shared" si="28"/>
        <v>0</v>
      </c>
      <c r="EP730" s="1487"/>
      <c r="EQ730" s="1487"/>
      <c r="ER730" s="1487"/>
      <c r="ES730" s="1487"/>
      <c r="ET730" s="1487">
        <f t="shared" si="29"/>
        <v>0</v>
      </c>
      <c r="EU730" s="1487"/>
      <c r="EV730" s="1487"/>
      <c r="EW730" s="1487"/>
      <c r="EX730" s="1487"/>
      <c r="EZ730" s="1490" t="str">
        <f t="shared" si="30"/>
        <v/>
      </c>
      <c r="FA730" s="1492"/>
      <c r="FB730" s="1492"/>
      <c r="FC730" s="1492"/>
      <c r="FD730" s="1491"/>
      <c r="FE730" s="1490" t="str">
        <f t="shared" si="31"/>
        <v/>
      </c>
      <c r="FF730" s="1492"/>
      <c r="FG730" s="1492"/>
      <c r="FH730" s="1492"/>
      <c r="FI730" s="1491"/>
      <c r="FJ730" s="1490" t="str">
        <f t="shared" si="32"/>
        <v/>
      </c>
      <c r="FK730" s="1492"/>
      <c r="FL730" s="1492"/>
      <c r="FM730" s="1492"/>
      <c r="FN730" s="1491"/>
      <c r="FO730" s="1490" t="str">
        <f t="shared" si="33"/>
        <v/>
      </c>
      <c r="FP730" s="1492"/>
      <c r="FQ730" s="1492"/>
      <c r="FR730" s="1492"/>
      <c r="FS730" s="1491"/>
      <c r="FT730" s="1490" t="str">
        <f t="shared" si="34"/>
        <v/>
      </c>
      <c r="FU730" s="1492"/>
      <c r="FV730" s="1492"/>
      <c r="FW730" s="1492"/>
      <c r="FX730" s="1491"/>
      <c r="FY730" s="1490" t="str">
        <f t="shared" si="35"/>
        <v/>
      </c>
      <c r="FZ730" s="1492"/>
      <c r="GA730" s="1492"/>
      <c r="GB730" s="1492"/>
      <c r="GC730" s="1491"/>
    </row>
    <row r="731" spans="1:185" ht="12.95" customHeight="1">
      <c r="B731" s="1350"/>
      <c r="C731" s="1351"/>
      <c r="D731" s="1351"/>
      <c r="E731" s="1351"/>
      <c r="F731" s="1352"/>
      <c r="G731" s="1354"/>
      <c r="H731" s="1355"/>
      <c r="I731" s="1355"/>
      <c r="J731" s="1356"/>
      <c r="K731" s="1344"/>
      <c r="L731" s="1345"/>
      <c r="M731" s="1345"/>
      <c r="N731" s="1346"/>
      <c r="O731" s="1341"/>
      <c r="P731" s="1342"/>
      <c r="Q731" s="1342"/>
      <c r="R731" s="1342"/>
      <c r="S731" s="1343"/>
      <c r="T731" s="1341"/>
      <c r="U731" s="1342"/>
      <c r="V731" s="1342"/>
      <c r="W731" s="1343"/>
      <c r="X731" s="1357">
        <f t="shared" si="8"/>
        <v>0</v>
      </c>
      <c r="Y731" s="1358"/>
      <c r="Z731" s="1358"/>
      <c r="AA731" s="1358"/>
      <c r="AB731" s="1359"/>
      <c r="AC731" s="1364"/>
      <c r="AD731" s="1365"/>
      <c r="AE731" s="1365"/>
      <c r="AF731" s="1365"/>
      <c r="AG731" s="1366"/>
      <c r="AH731" s="1360" t="str">
        <f t="shared" si="36"/>
        <v/>
      </c>
      <c r="AI731" s="1361"/>
      <c r="AJ731" s="1362"/>
      <c r="AK731" s="1350" t="s">
        <v>592</v>
      </c>
      <c r="AL731" s="1351"/>
      <c r="AM731" s="1351"/>
      <c r="AN731" s="1351"/>
      <c r="AO731" s="1352"/>
      <c r="AP731" s="3"/>
      <c r="AQ731" s="3"/>
      <c r="AR731" s="3"/>
      <c r="AS731" s="3"/>
      <c r="AY731" s="1084"/>
      <c r="AZ731" s="118" t="str">
        <f t="shared" si="9"/>
        <v>N/A</v>
      </c>
      <c r="BA731" s="3"/>
      <c r="BB731" s="3"/>
      <c r="BC731" s="3"/>
      <c r="BD731" s="3"/>
      <c r="BE731" s="204"/>
      <c r="BF731" s="293">
        <f t="shared" si="10"/>
        <v>0</v>
      </c>
      <c r="BG731" s="296">
        <f t="shared" si="11"/>
        <v>0</v>
      </c>
      <c r="BH731" s="297" t="str">
        <f t="shared" si="12"/>
        <v/>
      </c>
      <c r="BI731" s="3"/>
      <c r="BJ731" s="3"/>
      <c r="BK731" s="3"/>
      <c r="BL731" s="3"/>
      <c r="BM731" s="3"/>
      <c r="BN731" s="3"/>
      <c r="BS731" s="293">
        <f t="shared" si="13"/>
        <v>0</v>
      </c>
      <c r="BT731" s="296">
        <f t="shared" si="14"/>
        <v>0</v>
      </c>
      <c r="BU731" s="297" t="str">
        <f t="shared" si="15"/>
        <v/>
      </c>
      <c r="BV731" s="3"/>
      <c r="BW731" s="3"/>
      <c r="BX731" s="3"/>
      <c r="BY731" s="3"/>
      <c r="BZ731" s="3"/>
      <c r="CA731" s="3"/>
      <c r="CB731" s="3"/>
      <c r="CC731" s="3"/>
      <c r="CE731" s="3"/>
      <c r="CF731" s="3"/>
      <c r="CG731" s="1490">
        <f t="shared" si="37"/>
        <v>0</v>
      </c>
      <c r="CH731" s="1491"/>
      <c r="CI731" s="1488">
        <f t="shared" si="38"/>
        <v>0</v>
      </c>
      <c r="CJ731" s="1489"/>
      <c r="CK731" s="1490">
        <f t="shared" si="16"/>
        <v>0</v>
      </c>
      <c r="CL731" s="1491"/>
      <c r="CM731" s="1488">
        <f t="shared" si="17"/>
        <v>0</v>
      </c>
      <c r="CN731" s="1489"/>
      <c r="CO731" s="3"/>
      <c r="CP731" s="1482">
        <f t="shared" si="18"/>
        <v>0</v>
      </c>
      <c r="CQ731" s="1483"/>
      <c r="CR731" s="1483"/>
      <c r="CS731" s="1483"/>
      <c r="CT731" s="1484"/>
      <c r="CU731" s="1486">
        <f t="shared" si="19"/>
        <v>0</v>
      </c>
      <c r="CV731" s="1486"/>
      <c r="CW731" s="1486"/>
      <c r="CX731" s="1486"/>
      <c r="CY731" s="1486"/>
      <c r="CZ731" s="1486">
        <f t="shared" si="20"/>
        <v>0</v>
      </c>
      <c r="DA731" s="1486"/>
      <c r="DB731" s="1486"/>
      <c r="DC731" s="1486"/>
      <c r="DD731" s="1486"/>
      <c r="DE731" s="1486">
        <f t="shared" si="21"/>
        <v>0</v>
      </c>
      <c r="DF731" s="1486"/>
      <c r="DG731" s="1486"/>
      <c r="DH731" s="1486"/>
      <c r="DI731" s="1486"/>
      <c r="DJ731" s="1486">
        <f t="shared" si="22"/>
        <v>0</v>
      </c>
      <c r="DK731" s="1486"/>
      <c r="DL731" s="1486"/>
      <c r="DM731" s="1486"/>
      <c r="DN731" s="1486"/>
      <c r="DO731" s="1486">
        <f t="shared" si="23"/>
        <v>0</v>
      </c>
      <c r="DP731" s="1486"/>
      <c r="DQ731" s="1486"/>
      <c r="DR731" s="1486"/>
      <c r="DS731" s="1486"/>
      <c r="DT731" s="6"/>
      <c r="DU731" s="1487">
        <f t="shared" si="24"/>
        <v>0</v>
      </c>
      <c r="DV731" s="1487"/>
      <c r="DW731" s="1487"/>
      <c r="DX731" s="1487"/>
      <c r="DY731" s="1487"/>
      <c r="DZ731" s="1487">
        <f t="shared" si="25"/>
        <v>0</v>
      </c>
      <c r="EA731" s="1487"/>
      <c r="EB731" s="1487"/>
      <c r="EC731" s="1487"/>
      <c r="ED731" s="1487"/>
      <c r="EE731" s="1487">
        <f t="shared" si="26"/>
        <v>0</v>
      </c>
      <c r="EF731" s="1487"/>
      <c r="EG731" s="1487"/>
      <c r="EH731" s="1487"/>
      <c r="EI731" s="1487"/>
      <c r="EJ731" s="1487">
        <f t="shared" si="27"/>
        <v>0</v>
      </c>
      <c r="EK731" s="1487"/>
      <c r="EL731" s="1487"/>
      <c r="EM731" s="1487"/>
      <c r="EN731" s="1487"/>
      <c r="EO731" s="1487">
        <f t="shared" si="28"/>
        <v>0</v>
      </c>
      <c r="EP731" s="1487"/>
      <c r="EQ731" s="1487"/>
      <c r="ER731" s="1487"/>
      <c r="ES731" s="1487"/>
      <c r="ET731" s="1487">
        <f t="shared" si="29"/>
        <v>0</v>
      </c>
      <c r="EU731" s="1487"/>
      <c r="EV731" s="1487"/>
      <c r="EW731" s="1487"/>
      <c r="EX731" s="1487"/>
      <c r="EZ731" s="1490" t="str">
        <f t="shared" si="30"/>
        <v/>
      </c>
      <c r="FA731" s="1492"/>
      <c r="FB731" s="1492"/>
      <c r="FC731" s="1492"/>
      <c r="FD731" s="1491"/>
      <c r="FE731" s="1490" t="str">
        <f t="shared" si="31"/>
        <v/>
      </c>
      <c r="FF731" s="1492"/>
      <c r="FG731" s="1492"/>
      <c r="FH731" s="1492"/>
      <c r="FI731" s="1491"/>
      <c r="FJ731" s="1490" t="str">
        <f t="shared" si="32"/>
        <v/>
      </c>
      <c r="FK731" s="1492"/>
      <c r="FL731" s="1492"/>
      <c r="FM731" s="1492"/>
      <c r="FN731" s="1491"/>
      <c r="FO731" s="1490" t="str">
        <f t="shared" si="33"/>
        <v/>
      </c>
      <c r="FP731" s="1492"/>
      <c r="FQ731" s="1492"/>
      <c r="FR731" s="1492"/>
      <c r="FS731" s="1491"/>
      <c r="FT731" s="1490" t="str">
        <f t="shared" si="34"/>
        <v/>
      </c>
      <c r="FU731" s="1492"/>
      <c r="FV731" s="1492"/>
      <c r="FW731" s="1492"/>
      <c r="FX731" s="1491"/>
      <c r="FY731" s="1490" t="str">
        <f t="shared" si="35"/>
        <v/>
      </c>
      <c r="FZ731" s="1492"/>
      <c r="GA731" s="1492"/>
      <c r="GB731" s="1492"/>
      <c r="GC731" s="1491"/>
    </row>
    <row r="732" spans="1:185" ht="12.95" customHeight="1">
      <c r="B732" s="1350"/>
      <c r="C732" s="1351"/>
      <c r="D732" s="1351"/>
      <c r="E732" s="1351"/>
      <c r="F732" s="1352"/>
      <c r="G732" s="1354"/>
      <c r="H732" s="1355"/>
      <c r="I732" s="1355"/>
      <c r="J732" s="1356"/>
      <c r="K732" s="1344"/>
      <c r="L732" s="1345"/>
      <c r="M732" s="1345"/>
      <c r="N732" s="1346"/>
      <c r="O732" s="1341"/>
      <c r="P732" s="1342"/>
      <c r="Q732" s="1342"/>
      <c r="R732" s="1342"/>
      <c r="S732" s="1343"/>
      <c r="T732" s="1341"/>
      <c r="U732" s="1342"/>
      <c r="V732" s="1342"/>
      <c r="W732" s="1343"/>
      <c r="X732" s="1357">
        <f t="shared" si="8"/>
        <v>0</v>
      </c>
      <c r="Y732" s="1358"/>
      <c r="Z732" s="1358"/>
      <c r="AA732" s="1358"/>
      <c r="AB732" s="1359"/>
      <c r="AC732" s="1364"/>
      <c r="AD732" s="1365"/>
      <c r="AE732" s="1365"/>
      <c r="AF732" s="1365"/>
      <c r="AG732" s="1366"/>
      <c r="AH732" s="1360" t="str">
        <f t="shared" si="36"/>
        <v/>
      </c>
      <c r="AI732" s="1361"/>
      <c r="AJ732" s="1362"/>
      <c r="AK732" s="1350" t="s">
        <v>592</v>
      </c>
      <c r="AL732" s="1351"/>
      <c r="AM732" s="1351"/>
      <c r="AN732" s="1351"/>
      <c r="AO732" s="1352"/>
      <c r="AP732" s="3"/>
      <c r="AQ732" s="3"/>
      <c r="AR732" s="3"/>
      <c r="AS732" s="3"/>
      <c r="AY732" s="1084"/>
      <c r="AZ732" s="118" t="str">
        <f t="shared" si="9"/>
        <v>N/A</v>
      </c>
      <c r="BA732" s="3"/>
      <c r="BB732" s="3"/>
      <c r="BC732" s="3"/>
      <c r="BD732" s="3"/>
      <c r="BE732" s="204"/>
      <c r="BF732" s="293">
        <f t="shared" si="10"/>
        <v>0</v>
      </c>
      <c r="BG732" s="296">
        <f t="shared" si="11"/>
        <v>0</v>
      </c>
      <c r="BH732" s="297" t="str">
        <f t="shared" si="12"/>
        <v/>
      </c>
      <c r="BI732" s="3"/>
      <c r="BJ732" s="3"/>
      <c r="BK732" s="3"/>
      <c r="BL732" s="3"/>
      <c r="BM732" s="3"/>
      <c r="BN732" s="3"/>
      <c r="BS732" s="293">
        <f t="shared" si="13"/>
        <v>0</v>
      </c>
      <c r="BT732" s="296">
        <f t="shared" si="14"/>
        <v>0</v>
      </c>
      <c r="BU732" s="297" t="str">
        <f t="shared" si="15"/>
        <v/>
      </c>
      <c r="BV732" s="3"/>
      <c r="BW732" s="3"/>
      <c r="BX732" s="3"/>
      <c r="BY732" s="3"/>
      <c r="BZ732" s="3"/>
      <c r="CA732" s="3"/>
      <c r="CB732" s="3"/>
      <c r="CC732" s="3"/>
      <c r="CE732" s="3"/>
      <c r="CF732" s="3"/>
      <c r="CG732" s="1490">
        <f t="shared" si="37"/>
        <v>0</v>
      </c>
      <c r="CH732" s="1491"/>
      <c r="CI732" s="1488">
        <f t="shared" si="38"/>
        <v>0</v>
      </c>
      <c r="CJ732" s="1489"/>
      <c r="CK732" s="1490">
        <f t="shared" si="16"/>
        <v>0</v>
      </c>
      <c r="CL732" s="1491"/>
      <c r="CM732" s="1488">
        <f t="shared" si="17"/>
        <v>0</v>
      </c>
      <c r="CN732" s="1489"/>
      <c r="CO732" s="3"/>
      <c r="CP732" s="1482">
        <f t="shared" si="18"/>
        <v>0</v>
      </c>
      <c r="CQ732" s="1483"/>
      <c r="CR732" s="1483"/>
      <c r="CS732" s="1483"/>
      <c r="CT732" s="1484"/>
      <c r="CU732" s="1486">
        <f t="shared" si="19"/>
        <v>0</v>
      </c>
      <c r="CV732" s="1486"/>
      <c r="CW732" s="1486"/>
      <c r="CX732" s="1486"/>
      <c r="CY732" s="1486"/>
      <c r="CZ732" s="1486">
        <f t="shared" si="20"/>
        <v>0</v>
      </c>
      <c r="DA732" s="1486"/>
      <c r="DB732" s="1486"/>
      <c r="DC732" s="1486"/>
      <c r="DD732" s="1486"/>
      <c r="DE732" s="1486">
        <f t="shared" si="21"/>
        <v>0</v>
      </c>
      <c r="DF732" s="1486"/>
      <c r="DG732" s="1486"/>
      <c r="DH732" s="1486"/>
      <c r="DI732" s="1486"/>
      <c r="DJ732" s="1486">
        <f t="shared" si="22"/>
        <v>0</v>
      </c>
      <c r="DK732" s="1486"/>
      <c r="DL732" s="1486"/>
      <c r="DM732" s="1486"/>
      <c r="DN732" s="1486"/>
      <c r="DO732" s="1486">
        <f t="shared" si="23"/>
        <v>0</v>
      </c>
      <c r="DP732" s="1486"/>
      <c r="DQ732" s="1486"/>
      <c r="DR732" s="1486"/>
      <c r="DS732" s="1486"/>
      <c r="DT732" s="6"/>
      <c r="DU732" s="1487">
        <f t="shared" si="24"/>
        <v>0</v>
      </c>
      <c r="DV732" s="1487"/>
      <c r="DW732" s="1487"/>
      <c r="DX732" s="1487"/>
      <c r="DY732" s="1487"/>
      <c r="DZ732" s="1487">
        <f t="shared" si="25"/>
        <v>0</v>
      </c>
      <c r="EA732" s="1487"/>
      <c r="EB732" s="1487"/>
      <c r="EC732" s="1487"/>
      <c r="ED732" s="1487"/>
      <c r="EE732" s="1487">
        <f t="shared" si="26"/>
        <v>0</v>
      </c>
      <c r="EF732" s="1487"/>
      <c r="EG732" s="1487"/>
      <c r="EH732" s="1487"/>
      <c r="EI732" s="1487"/>
      <c r="EJ732" s="1487">
        <f t="shared" si="27"/>
        <v>0</v>
      </c>
      <c r="EK732" s="1487"/>
      <c r="EL732" s="1487"/>
      <c r="EM732" s="1487"/>
      <c r="EN732" s="1487"/>
      <c r="EO732" s="1487">
        <f t="shared" si="28"/>
        <v>0</v>
      </c>
      <c r="EP732" s="1487"/>
      <c r="EQ732" s="1487"/>
      <c r="ER732" s="1487"/>
      <c r="ES732" s="1487"/>
      <c r="ET732" s="1487">
        <f t="shared" si="29"/>
        <v>0</v>
      </c>
      <c r="EU732" s="1487"/>
      <c r="EV732" s="1487"/>
      <c r="EW732" s="1487"/>
      <c r="EX732" s="1487"/>
      <c r="EZ732" s="1490" t="str">
        <f t="shared" si="30"/>
        <v/>
      </c>
      <c r="FA732" s="1492"/>
      <c r="FB732" s="1492"/>
      <c r="FC732" s="1492"/>
      <c r="FD732" s="1491"/>
      <c r="FE732" s="1490" t="str">
        <f t="shared" si="31"/>
        <v/>
      </c>
      <c r="FF732" s="1492"/>
      <c r="FG732" s="1492"/>
      <c r="FH732" s="1492"/>
      <c r="FI732" s="1491"/>
      <c r="FJ732" s="1490" t="str">
        <f t="shared" si="32"/>
        <v/>
      </c>
      <c r="FK732" s="1492"/>
      <c r="FL732" s="1492"/>
      <c r="FM732" s="1492"/>
      <c r="FN732" s="1491"/>
      <c r="FO732" s="1490" t="str">
        <f t="shared" si="33"/>
        <v/>
      </c>
      <c r="FP732" s="1492"/>
      <c r="FQ732" s="1492"/>
      <c r="FR732" s="1492"/>
      <c r="FS732" s="1491"/>
      <c r="FT732" s="1490" t="str">
        <f t="shared" si="34"/>
        <v/>
      </c>
      <c r="FU732" s="1492"/>
      <c r="FV732" s="1492"/>
      <c r="FW732" s="1492"/>
      <c r="FX732" s="1491"/>
      <c r="FY732" s="1490" t="str">
        <f t="shared" si="35"/>
        <v/>
      </c>
      <c r="FZ732" s="1492"/>
      <c r="GA732" s="1492"/>
      <c r="GB732" s="1492"/>
      <c r="GC732" s="1491"/>
    </row>
    <row r="733" spans="1:185" ht="12.95" customHeight="1">
      <c r="B733" s="1350"/>
      <c r="C733" s="1351"/>
      <c r="D733" s="1351"/>
      <c r="E733" s="1351"/>
      <c r="F733" s="1352"/>
      <c r="G733" s="1354"/>
      <c r="H733" s="1355"/>
      <c r="I733" s="1355"/>
      <c r="J733" s="1356"/>
      <c r="K733" s="1344"/>
      <c r="L733" s="1345"/>
      <c r="M733" s="1345"/>
      <c r="N733" s="1346"/>
      <c r="O733" s="1341"/>
      <c r="P733" s="1342"/>
      <c r="Q733" s="1342"/>
      <c r="R733" s="1342"/>
      <c r="S733" s="1343"/>
      <c r="T733" s="1341"/>
      <c r="U733" s="1342"/>
      <c r="V733" s="1342"/>
      <c r="W733" s="1343"/>
      <c r="X733" s="1357">
        <f t="shared" si="8"/>
        <v>0</v>
      </c>
      <c r="Y733" s="1358"/>
      <c r="Z733" s="1358"/>
      <c r="AA733" s="1358"/>
      <c r="AB733" s="1359"/>
      <c r="AC733" s="1364"/>
      <c r="AD733" s="1365"/>
      <c r="AE733" s="1365"/>
      <c r="AF733" s="1365"/>
      <c r="AG733" s="1366"/>
      <c r="AH733" s="1360" t="str">
        <f t="shared" si="36"/>
        <v/>
      </c>
      <c r="AI733" s="1361"/>
      <c r="AJ733" s="1362"/>
      <c r="AK733" s="1350" t="s">
        <v>592</v>
      </c>
      <c r="AL733" s="1351"/>
      <c r="AM733" s="1351"/>
      <c r="AN733" s="1351"/>
      <c r="AO733" s="1352"/>
      <c r="AP733" s="3"/>
      <c r="AQ733" s="3"/>
      <c r="AR733" s="3"/>
      <c r="AS733" s="3"/>
      <c r="AY733" s="1084"/>
      <c r="AZ733" s="118" t="str">
        <f t="shared" si="9"/>
        <v>N/A</v>
      </c>
      <c r="BA733" s="3"/>
      <c r="BB733" s="3"/>
      <c r="BC733" s="3"/>
      <c r="BD733" s="3"/>
      <c r="BE733" s="204"/>
      <c r="BF733" s="293">
        <f t="shared" si="10"/>
        <v>0</v>
      </c>
      <c r="BG733" s="296">
        <f t="shared" si="11"/>
        <v>0</v>
      </c>
      <c r="BH733" s="297" t="str">
        <f t="shared" si="12"/>
        <v/>
      </c>
      <c r="BI733" s="3"/>
      <c r="BJ733" s="3"/>
      <c r="BK733" s="3"/>
      <c r="BL733" s="3"/>
      <c r="BM733" s="3"/>
      <c r="BN733" s="3"/>
      <c r="BS733" s="293">
        <f t="shared" si="13"/>
        <v>0</v>
      </c>
      <c r="BT733" s="296">
        <f t="shared" si="14"/>
        <v>0</v>
      </c>
      <c r="BU733" s="297" t="str">
        <f t="shared" si="15"/>
        <v/>
      </c>
      <c r="BV733" s="3"/>
      <c r="BW733" s="3"/>
      <c r="BX733" s="3"/>
      <c r="BY733" s="3"/>
      <c r="BZ733" s="3"/>
      <c r="CA733" s="3"/>
      <c r="CB733" s="3"/>
      <c r="CC733" s="3"/>
      <c r="CE733" s="3"/>
      <c r="CF733" s="3"/>
      <c r="CG733" s="1490">
        <f t="shared" si="37"/>
        <v>0</v>
      </c>
      <c r="CH733" s="1491"/>
      <c r="CI733" s="1488">
        <f t="shared" si="38"/>
        <v>0</v>
      </c>
      <c r="CJ733" s="1489"/>
      <c r="CK733" s="1490">
        <f t="shared" si="16"/>
        <v>0</v>
      </c>
      <c r="CL733" s="1491"/>
      <c r="CM733" s="1488">
        <f t="shared" si="17"/>
        <v>0</v>
      </c>
      <c r="CN733" s="1489"/>
      <c r="CO733" s="3"/>
      <c r="CP733" s="1482">
        <f t="shared" si="18"/>
        <v>0</v>
      </c>
      <c r="CQ733" s="1483"/>
      <c r="CR733" s="1483"/>
      <c r="CS733" s="1483"/>
      <c r="CT733" s="1484"/>
      <c r="CU733" s="1486">
        <f t="shared" si="19"/>
        <v>0</v>
      </c>
      <c r="CV733" s="1486"/>
      <c r="CW733" s="1486"/>
      <c r="CX733" s="1486"/>
      <c r="CY733" s="1486"/>
      <c r="CZ733" s="1486">
        <f t="shared" si="20"/>
        <v>0</v>
      </c>
      <c r="DA733" s="1486"/>
      <c r="DB733" s="1486"/>
      <c r="DC733" s="1486"/>
      <c r="DD733" s="1486"/>
      <c r="DE733" s="1486">
        <f t="shared" si="21"/>
        <v>0</v>
      </c>
      <c r="DF733" s="1486"/>
      <c r="DG733" s="1486"/>
      <c r="DH733" s="1486"/>
      <c r="DI733" s="1486"/>
      <c r="DJ733" s="1486">
        <f t="shared" si="22"/>
        <v>0</v>
      </c>
      <c r="DK733" s="1486"/>
      <c r="DL733" s="1486"/>
      <c r="DM733" s="1486"/>
      <c r="DN733" s="1486"/>
      <c r="DO733" s="1486">
        <f t="shared" si="23"/>
        <v>0</v>
      </c>
      <c r="DP733" s="1486"/>
      <c r="DQ733" s="1486"/>
      <c r="DR733" s="1486"/>
      <c r="DS733" s="1486"/>
      <c r="DT733" s="6"/>
      <c r="DU733" s="1487">
        <f t="shared" si="24"/>
        <v>0</v>
      </c>
      <c r="DV733" s="1487"/>
      <c r="DW733" s="1487"/>
      <c r="DX733" s="1487"/>
      <c r="DY733" s="1487"/>
      <c r="DZ733" s="1487">
        <f t="shared" si="25"/>
        <v>0</v>
      </c>
      <c r="EA733" s="1487"/>
      <c r="EB733" s="1487"/>
      <c r="EC733" s="1487"/>
      <c r="ED733" s="1487"/>
      <c r="EE733" s="1487">
        <f t="shared" si="26"/>
        <v>0</v>
      </c>
      <c r="EF733" s="1487"/>
      <c r="EG733" s="1487"/>
      <c r="EH733" s="1487"/>
      <c r="EI733" s="1487"/>
      <c r="EJ733" s="1487">
        <f t="shared" si="27"/>
        <v>0</v>
      </c>
      <c r="EK733" s="1487"/>
      <c r="EL733" s="1487"/>
      <c r="EM733" s="1487"/>
      <c r="EN733" s="1487"/>
      <c r="EO733" s="1487">
        <f t="shared" si="28"/>
        <v>0</v>
      </c>
      <c r="EP733" s="1487"/>
      <c r="EQ733" s="1487"/>
      <c r="ER733" s="1487"/>
      <c r="ES733" s="1487"/>
      <c r="ET733" s="1487">
        <f t="shared" si="29"/>
        <v>0</v>
      </c>
      <c r="EU733" s="1487"/>
      <c r="EV733" s="1487"/>
      <c r="EW733" s="1487"/>
      <c r="EX733" s="1487"/>
      <c r="EZ733" s="1490" t="str">
        <f t="shared" si="30"/>
        <v/>
      </c>
      <c r="FA733" s="1492"/>
      <c r="FB733" s="1492"/>
      <c r="FC733" s="1492"/>
      <c r="FD733" s="1491"/>
      <c r="FE733" s="1490" t="str">
        <f t="shared" si="31"/>
        <v/>
      </c>
      <c r="FF733" s="1492"/>
      <c r="FG733" s="1492"/>
      <c r="FH733" s="1492"/>
      <c r="FI733" s="1491"/>
      <c r="FJ733" s="1490" t="str">
        <f t="shared" si="32"/>
        <v/>
      </c>
      <c r="FK733" s="1492"/>
      <c r="FL733" s="1492"/>
      <c r="FM733" s="1492"/>
      <c r="FN733" s="1491"/>
      <c r="FO733" s="1490" t="str">
        <f t="shared" si="33"/>
        <v/>
      </c>
      <c r="FP733" s="1492"/>
      <c r="FQ733" s="1492"/>
      <c r="FR733" s="1492"/>
      <c r="FS733" s="1491"/>
      <c r="FT733" s="1490" t="str">
        <f t="shared" si="34"/>
        <v/>
      </c>
      <c r="FU733" s="1492"/>
      <c r="FV733" s="1492"/>
      <c r="FW733" s="1492"/>
      <c r="FX733" s="1491"/>
      <c r="FY733" s="1490" t="str">
        <f t="shared" si="35"/>
        <v/>
      </c>
      <c r="FZ733" s="1492"/>
      <c r="GA733" s="1492"/>
      <c r="GB733" s="1492"/>
      <c r="GC733" s="1491"/>
    </row>
    <row r="734" spans="1:185" ht="12.95" customHeight="1">
      <c r="B734" s="1350"/>
      <c r="C734" s="1351"/>
      <c r="D734" s="1351"/>
      <c r="E734" s="1351"/>
      <c r="F734" s="1352"/>
      <c r="G734" s="1354"/>
      <c r="H734" s="1355"/>
      <c r="I734" s="1355"/>
      <c r="J734" s="1356"/>
      <c r="K734" s="1344"/>
      <c r="L734" s="1345"/>
      <c r="M734" s="1345"/>
      <c r="N734" s="1346"/>
      <c r="O734" s="1341"/>
      <c r="P734" s="1342"/>
      <c r="Q734" s="1342"/>
      <c r="R734" s="1342"/>
      <c r="S734" s="1343"/>
      <c r="T734" s="1341"/>
      <c r="U734" s="1342"/>
      <c r="V734" s="1342"/>
      <c r="W734" s="1343"/>
      <c r="X734" s="1357">
        <f t="shared" si="8"/>
        <v>0</v>
      </c>
      <c r="Y734" s="1358"/>
      <c r="Z734" s="1358"/>
      <c r="AA734" s="1358"/>
      <c r="AB734" s="1359"/>
      <c r="AC734" s="1364"/>
      <c r="AD734" s="1365"/>
      <c r="AE734" s="1365"/>
      <c r="AF734" s="1365"/>
      <c r="AG734" s="1366"/>
      <c r="AH734" s="1360" t="str">
        <f t="shared" si="36"/>
        <v/>
      </c>
      <c r="AI734" s="1361"/>
      <c r="AJ734" s="1362"/>
      <c r="AK734" s="1350" t="s">
        <v>592</v>
      </c>
      <c r="AL734" s="1351"/>
      <c r="AM734" s="1351"/>
      <c r="AN734" s="1351"/>
      <c r="AO734" s="1352"/>
      <c r="AP734" s="3"/>
      <c r="AQ734" s="3"/>
      <c r="AR734" s="3"/>
      <c r="AS734" s="3"/>
      <c r="AY734" s="1084"/>
      <c r="AZ734" s="118" t="str">
        <f t="shared" si="9"/>
        <v>N/A</v>
      </c>
      <c r="BA734" s="3"/>
      <c r="BB734" s="3"/>
      <c r="BC734" s="3"/>
      <c r="BD734" s="3"/>
      <c r="BE734" s="204"/>
      <c r="BF734" s="293">
        <f t="shared" si="10"/>
        <v>0</v>
      </c>
      <c r="BG734" s="296">
        <f t="shared" si="11"/>
        <v>0</v>
      </c>
      <c r="BH734" s="297" t="str">
        <f t="shared" si="12"/>
        <v/>
      </c>
      <c r="BI734" s="3"/>
      <c r="BJ734" s="3"/>
      <c r="BK734" s="3"/>
      <c r="BL734" s="3"/>
      <c r="BM734" s="3"/>
      <c r="BN734" s="3"/>
      <c r="BS734" s="293">
        <f t="shared" si="13"/>
        <v>0</v>
      </c>
      <c r="BT734" s="296">
        <f t="shared" si="14"/>
        <v>0</v>
      </c>
      <c r="BU734" s="297" t="str">
        <f t="shared" si="15"/>
        <v/>
      </c>
      <c r="BV734" s="3"/>
      <c r="BW734" s="3"/>
      <c r="BX734" s="3"/>
      <c r="BY734" s="3"/>
      <c r="BZ734" s="3"/>
      <c r="CA734" s="3"/>
      <c r="CB734" s="3"/>
      <c r="CC734" s="3"/>
      <c r="CE734" s="3"/>
      <c r="CF734" s="3"/>
      <c r="CG734" s="1490">
        <f t="shared" si="37"/>
        <v>0</v>
      </c>
      <c r="CH734" s="1491"/>
      <c r="CI734" s="1488">
        <f t="shared" si="38"/>
        <v>0</v>
      </c>
      <c r="CJ734" s="1489"/>
      <c r="CK734" s="1490">
        <f t="shared" si="16"/>
        <v>0</v>
      </c>
      <c r="CL734" s="1491"/>
      <c r="CM734" s="1488">
        <f t="shared" si="17"/>
        <v>0</v>
      </c>
      <c r="CN734" s="1489"/>
      <c r="CO734" s="3"/>
      <c r="CP734" s="1482">
        <f t="shared" si="18"/>
        <v>0</v>
      </c>
      <c r="CQ734" s="1483"/>
      <c r="CR734" s="1483"/>
      <c r="CS734" s="1483"/>
      <c r="CT734" s="1484"/>
      <c r="CU734" s="1486">
        <f t="shared" si="19"/>
        <v>0</v>
      </c>
      <c r="CV734" s="1486"/>
      <c r="CW734" s="1486"/>
      <c r="CX734" s="1486"/>
      <c r="CY734" s="1486"/>
      <c r="CZ734" s="1486">
        <f t="shared" si="20"/>
        <v>0</v>
      </c>
      <c r="DA734" s="1486"/>
      <c r="DB734" s="1486"/>
      <c r="DC734" s="1486"/>
      <c r="DD734" s="1486"/>
      <c r="DE734" s="1486">
        <f t="shared" si="21"/>
        <v>0</v>
      </c>
      <c r="DF734" s="1486"/>
      <c r="DG734" s="1486"/>
      <c r="DH734" s="1486"/>
      <c r="DI734" s="1486"/>
      <c r="DJ734" s="1486">
        <f t="shared" si="22"/>
        <v>0</v>
      </c>
      <c r="DK734" s="1486"/>
      <c r="DL734" s="1486"/>
      <c r="DM734" s="1486"/>
      <c r="DN734" s="1486"/>
      <c r="DO734" s="1486">
        <f t="shared" si="23"/>
        <v>0</v>
      </c>
      <c r="DP734" s="1486"/>
      <c r="DQ734" s="1486"/>
      <c r="DR734" s="1486"/>
      <c r="DS734" s="1486"/>
      <c r="DT734" s="6"/>
      <c r="DU734" s="1487">
        <f t="shared" si="24"/>
        <v>0</v>
      </c>
      <c r="DV734" s="1487"/>
      <c r="DW734" s="1487"/>
      <c r="DX734" s="1487"/>
      <c r="DY734" s="1487"/>
      <c r="DZ734" s="1487">
        <f t="shared" si="25"/>
        <v>0</v>
      </c>
      <c r="EA734" s="1487"/>
      <c r="EB734" s="1487"/>
      <c r="EC734" s="1487"/>
      <c r="ED734" s="1487"/>
      <c r="EE734" s="1487">
        <f t="shared" si="26"/>
        <v>0</v>
      </c>
      <c r="EF734" s="1487"/>
      <c r="EG734" s="1487"/>
      <c r="EH734" s="1487"/>
      <c r="EI734" s="1487"/>
      <c r="EJ734" s="1487">
        <f t="shared" si="27"/>
        <v>0</v>
      </c>
      <c r="EK734" s="1487"/>
      <c r="EL734" s="1487"/>
      <c r="EM734" s="1487"/>
      <c r="EN734" s="1487"/>
      <c r="EO734" s="1487">
        <f t="shared" si="28"/>
        <v>0</v>
      </c>
      <c r="EP734" s="1487"/>
      <c r="EQ734" s="1487"/>
      <c r="ER734" s="1487"/>
      <c r="ES734" s="1487"/>
      <c r="ET734" s="1487">
        <f t="shared" si="29"/>
        <v>0</v>
      </c>
      <c r="EU734" s="1487"/>
      <c r="EV734" s="1487"/>
      <c r="EW734" s="1487"/>
      <c r="EX734" s="1487"/>
      <c r="EZ734" s="1490" t="str">
        <f t="shared" si="30"/>
        <v/>
      </c>
      <c r="FA734" s="1492"/>
      <c r="FB734" s="1492"/>
      <c r="FC734" s="1492"/>
      <c r="FD734" s="1491"/>
      <c r="FE734" s="1490" t="str">
        <f t="shared" si="31"/>
        <v/>
      </c>
      <c r="FF734" s="1492"/>
      <c r="FG734" s="1492"/>
      <c r="FH734" s="1492"/>
      <c r="FI734" s="1491"/>
      <c r="FJ734" s="1490" t="str">
        <f t="shared" si="32"/>
        <v/>
      </c>
      <c r="FK734" s="1492"/>
      <c r="FL734" s="1492"/>
      <c r="FM734" s="1492"/>
      <c r="FN734" s="1491"/>
      <c r="FO734" s="1490" t="str">
        <f t="shared" si="33"/>
        <v/>
      </c>
      <c r="FP734" s="1492"/>
      <c r="FQ734" s="1492"/>
      <c r="FR734" s="1492"/>
      <c r="FS734" s="1491"/>
      <c r="FT734" s="1490" t="str">
        <f t="shared" si="34"/>
        <v/>
      </c>
      <c r="FU734" s="1492"/>
      <c r="FV734" s="1492"/>
      <c r="FW734" s="1492"/>
      <c r="FX734" s="1491"/>
      <c r="FY734" s="1490" t="str">
        <f t="shared" si="35"/>
        <v/>
      </c>
      <c r="FZ734" s="1492"/>
      <c r="GA734" s="1492"/>
      <c r="GB734" s="1492"/>
      <c r="GC734" s="1491"/>
    </row>
    <row r="735" spans="1:185" ht="12.95" customHeight="1">
      <c r="B735" s="1350"/>
      <c r="C735" s="1351"/>
      <c r="D735" s="1351"/>
      <c r="E735" s="1351"/>
      <c r="F735" s="1352"/>
      <c r="G735" s="1354"/>
      <c r="H735" s="1355"/>
      <c r="I735" s="1355"/>
      <c r="J735" s="1356"/>
      <c r="K735" s="1344"/>
      <c r="L735" s="1345"/>
      <c r="M735" s="1345"/>
      <c r="N735" s="1346"/>
      <c r="O735" s="1341"/>
      <c r="P735" s="1342"/>
      <c r="Q735" s="1342"/>
      <c r="R735" s="1342"/>
      <c r="S735" s="1343"/>
      <c r="T735" s="1341"/>
      <c r="U735" s="1342"/>
      <c r="V735" s="1342"/>
      <c r="W735" s="1343"/>
      <c r="X735" s="1357">
        <f t="shared" si="8"/>
        <v>0</v>
      </c>
      <c r="Y735" s="1358"/>
      <c r="Z735" s="1358"/>
      <c r="AA735" s="1358"/>
      <c r="AB735" s="1359"/>
      <c r="AC735" s="1364"/>
      <c r="AD735" s="1365"/>
      <c r="AE735" s="1365"/>
      <c r="AF735" s="1365"/>
      <c r="AG735" s="1366"/>
      <c r="AH735" s="1360" t="str">
        <f t="shared" si="36"/>
        <v/>
      </c>
      <c r="AI735" s="1361"/>
      <c r="AJ735" s="1362"/>
      <c r="AK735" s="1350" t="s">
        <v>592</v>
      </c>
      <c r="AL735" s="1351"/>
      <c r="AM735" s="1351"/>
      <c r="AN735" s="1351"/>
      <c r="AO735" s="1352"/>
      <c r="AP735" s="3"/>
      <c r="AQ735" s="3"/>
      <c r="AR735" s="3"/>
      <c r="AS735" s="3"/>
      <c r="AY735" s="1084"/>
      <c r="AZ735" s="118" t="str">
        <f t="shared" si="9"/>
        <v>N/A</v>
      </c>
      <c r="BA735" s="3"/>
      <c r="BB735" s="3"/>
      <c r="BC735" s="3"/>
      <c r="BD735" s="3"/>
      <c r="BE735" s="204"/>
      <c r="BF735" s="293">
        <f t="shared" si="10"/>
        <v>0</v>
      </c>
      <c r="BG735" s="296">
        <f t="shared" si="11"/>
        <v>0</v>
      </c>
      <c r="BH735" s="297" t="str">
        <f t="shared" si="12"/>
        <v/>
      </c>
      <c r="BI735" s="3"/>
      <c r="BJ735" s="3"/>
      <c r="BK735" s="3"/>
      <c r="BL735" s="3"/>
      <c r="BM735" s="3"/>
      <c r="BN735" s="3"/>
      <c r="BS735" s="293">
        <f t="shared" si="13"/>
        <v>0</v>
      </c>
      <c r="BT735" s="296">
        <f t="shared" si="14"/>
        <v>0</v>
      </c>
      <c r="BU735" s="297" t="str">
        <f t="shared" si="15"/>
        <v/>
      </c>
      <c r="BV735" s="3"/>
      <c r="BW735" s="3"/>
      <c r="BX735" s="3"/>
      <c r="BY735" s="3"/>
      <c r="BZ735" s="3"/>
      <c r="CA735" s="3"/>
      <c r="CB735" s="3"/>
      <c r="CC735" s="3"/>
      <c r="CE735" s="3"/>
      <c r="CF735" s="3"/>
      <c r="CG735" s="1490">
        <f t="shared" si="37"/>
        <v>0</v>
      </c>
      <c r="CH735" s="1491"/>
      <c r="CI735" s="1488">
        <f t="shared" si="38"/>
        <v>0</v>
      </c>
      <c r="CJ735" s="1489"/>
      <c r="CK735" s="1490">
        <f t="shared" si="16"/>
        <v>0</v>
      </c>
      <c r="CL735" s="1491"/>
      <c r="CM735" s="1488">
        <f t="shared" si="17"/>
        <v>0</v>
      </c>
      <c r="CN735" s="1489"/>
      <c r="CO735" s="3"/>
      <c r="CP735" s="1482">
        <f t="shared" si="18"/>
        <v>0</v>
      </c>
      <c r="CQ735" s="1483"/>
      <c r="CR735" s="1483"/>
      <c r="CS735" s="1483"/>
      <c r="CT735" s="1484"/>
      <c r="CU735" s="1486">
        <f t="shared" si="19"/>
        <v>0</v>
      </c>
      <c r="CV735" s="1486"/>
      <c r="CW735" s="1486"/>
      <c r="CX735" s="1486"/>
      <c r="CY735" s="1486"/>
      <c r="CZ735" s="1486">
        <f t="shared" si="20"/>
        <v>0</v>
      </c>
      <c r="DA735" s="1486"/>
      <c r="DB735" s="1486"/>
      <c r="DC735" s="1486"/>
      <c r="DD735" s="1486"/>
      <c r="DE735" s="1486">
        <f t="shared" si="21"/>
        <v>0</v>
      </c>
      <c r="DF735" s="1486"/>
      <c r="DG735" s="1486"/>
      <c r="DH735" s="1486"/>
      <c r="DI735" s="1486"/>
      <c r="DJ735" s="1486">
        <f t="shared" si="22"/>
        <v>0</v>
      </c>
      <c r="DK735" s="1486"/>
      <c r="DL735" s="1486"/>
      <c r="DM735" s="1486"/>
      <c r="DN735" s="1486"/>
      <c r="DO735" s="1486">
        <f t="shared" si="23"/>
        <v>0</v>
      </c>
      <c r="DP735" s="1486"/>
      <c r="DQ735" s="1486"/>
      <c r="DR735" s="1486"/>
      <c r="DS735" s="1486"/>
      <c r="DT735" s="6"/>
      <c r="DU735" s="1487">
        <f t="shared" si="24"/>
        <v>0</v>
      </c>
      <c r="DV735" s="1487"/>
      <c r="DW735" s="1487"/>
      <c r="DX735" s="1487"/>
      <c r="DY735" s="1487"/>
      <c r="DZ735" s="1487">
        <f t="shared" si="25"/>
        <v>0</v>
      </c>
      <c r="EA735" s="1487"/>
      <c r="EB735" s="1487"/>
      <c r="EC735" s="1487"/>
      <c r="ED735" s="1487"/>
      <c r="EE735" s="1487">
        <f t="shared" si="26"/>
        <v>0</v>
      </c>
      <c r="EF735" s="1487"/>
      <c r="EG735" s="1487"/>
      <c r="EH735" s="1487"/>
      <c r="EI735" s="1487"/>
      <c r="EJ735" s="1487">
        <f t="shared" si="27"/>
        <v>0</v>
      </c>
      <c r="EK735" s="1487"/>
      <c r="EL735" s="1487"/>
      <c r="EM735" s="1487"/>
      <c r="EN735" s="1487"/>
      <c r="EO735" s="1487">
        <f t="shared" si="28"/>
        <v>0</v>
      </c>
      <c r="EP735" s="1487"/>
      <c r="EQ735" s="1487"/>
      <c r="ER735" s="1487"/>
      <c r="ES735" s="1487"/>
      <c r="ET735" s="1487">
        <f t="shared" si="29"/>
        <v>0</v>
      </c>
      <c r="EU735" s="1487"/>
      <c r="EV735" s="1487"/>
      <c r="EW735" s="1487"/>
      <c r="EX735" s="1487"/>
      <c r="EZ735" s="1490" t="str">
        <f t="shared" si="30"/>
        <v/>
      </c>
      <c r="FA735" s="1492"/>
      <c r="FB735" s="1492"/>
      <c r="FC735" s="1492"/>
      <c r="FD735" s="1491"/>
      <c r="FE735" s="1490" t="str">
        <f t="shared" si="31"/>
        <v/>
      </c>
      <c r="FF735" s="1492"/>
      <c r="FG735" s="1492"/>
      <c r="FH735" s="1492"/>
      <c r="FI735" s="1491"/>
      <c r="FJ735" s="1490" t="str">
        <f t="shared" si="32"/>
        <v/>
      </c>
      <c r="FK735" s="1492"/>
      <c r="FL735" s="1492"/>
      <c r="FM735" s="1492"/>
      <c r="FN735" s="1491"/>
      <c r="FO735" s="1490" t="str">
        <f t="shared" si="33"/>
        <v/>
      </c>
      <c r="FP735" s="1492"/>
      <c r="FQ735" s="1492"/>
      <c r="FR735" s="1492"/>
      <c r="FS735" s="1491"/>
      <c r="FT735" s="1490" t="str">
        <f t="shared" si="34"/>
        <v/>
      </c>
      <c r="FU735" s="1492"/>
      <c r="FV735" s="1492"/>
      <c r="FW735" s="1492"/>
      <c r="FX735" s="1491"/>
      <c r="FY735" s="1490" t="str">
        <f t="shared" si="35"/>
        <v/>
      </c>
      <c r="FZ735" s="1492"/>
      <c r="GA735" s="1492"/>
      <c r="GB735" s="1492"/>
      <c r="GC735" s="1491"/>
    </row>
    <row r="736" spans="1:185" ht="12.95" customHeight="1">
      <c r="B736" s="1350"/>
      <c r="C736" s="1351"/>
      <c r="D736" s="1351"/>
      <c r="E736" s="1351"/>
      <c r="F736" s="1352"/>
      <c r="G736" s="1354"/>
      <c r="H736" s="1355"/>
      <c r="I736" s="1355"/>
      <c r="J736" s="1356"/>
      <c r="K736" s="1344"/>
      <c r="L736" s="1345"/>
      <c r="M736" s="1345"/>
      <c r="N736" s="1346"/>
      <c r="O736" s="1341"/>
      <c r="P736" s="1342"/>
      <c r="Q736" s="1342"/>
      <c r="R736" s="1342"/>
      <c r="S736" s="1343"/>
      <c r="T736" s="1341"/>
      <c r="U736" s="1342"/>
      <c r="V736" s="1342"/>
      <c r="W736" s="1343"/>
      <c r="X736" s="1357">
        <f t="shared" si="8"/>
        <v>0</v>
      </c>
      <c r="Y736" s="1358"/>
      <c r="Z736" s="1358"/>
      <c r="AA736" s="1358"/>
      <c r="AB736" s="1359"/>
      <c r="AC736" s="1364"/>
      <c r="AD736" s="1365"/>
      <c r="AE736" s="1365"/>
      <c r="AF736" s="1365"/>
      <c r="AG736" s="1366"/>
      <c r="AH736" s="1360" t="str">
        <f t="shared" si="36"/>
        <v/>
      </c>
      <c r="AI736" s="1361"/>
      <c r="AJ736" s="1362"/>
      <c r="AK736" s="1350" t="s">
        <v>592</v>
      </c>
      <c r="AL736" s="1351"/>
      <c r="AM736" s="1351"/>
      <c r="AN736" s="1351"/>
      <c r="AO736" s="1352"/>
      <c r="AP736" s="3"/>
      <c r="AQ736" s="3"/>
      <c r="AR736" s="3"/>
      <c r="AS736" s="3"/>
      <c r="AY736" s="1084"/>
      <c r="AZ736" s="118" t="str">
        <f t="shared" si="9"/>
        <v>N/A</v>
      </c>
      <c r="BA736" s="3"/>
      <c r="BB736" s="3"/>
      <c r="BC736" s="3"/>
      <c r="BD736" s="3"/>
      <c r="BE736" s="204"/>
      <c r="BF736" s="293">
        <f t="shared" si="10"/>
        <v>0</v>
      </c>
      <c r="BG736" s="296">
        <f t="shared" si="11"/>
        <v>0</v>
      </c>
      <c r="BH736" s="297" t="str">
        <f t="shared" si="12"/>
        <v/>
      </c>
      <c r="BI736" s="3"/>
      <c r="BJ736" s="3"/>
      <c r="BK736" s="3"/>
      <c r="BL736" s="3"/>
      <c r="BM736" s="3"/>
      <c r="BN736" s="3"/>
      <c r="BS736" s="293">
        <f t="shared" si="13"/>
        <v>0</v>
      </c>
      <c r="BT736" s="296">
        <f t="shared" si="14"/>
        <v>0</v>
      </c>
      <c r="BU736" s="297" t="str">
        <f t="shared" si="15"/>
        <v/>
      </c>
      <c r="BV736" s="3"/>
      <c r="BW736" s="3"/>
      <c r="BX736" s="3"/>
      <c r="BY736" s="3"/>
      <c r="BZ736" s="3"/>
      <c r="CA736" s="3"/>
      <c r="CB736" s="3"/>
      <c r="CC736" s="3"/>
      <c r="CE736" s="3"/>
      <c r="CF736" s="3"/>
      <c r="CG736" s="1490">
        <f t="shared" si="37"/>
        <v>0</v>
      </c>
      <c r="CH736" s="1491"/>
      <c r="CI736" s="1488">
        <f t="shared" si="38"/>
        <v>0</v>
      </c>
      <c r="CJ736" s="1489"/>
      <c r="CK736" s="1490">
        <f t="shared" si="16"/>
        <v>0</v>
      </c>
      <c r="CL736" s="1491"/>
      <c r="CM736" s="1488">
        <f t="shared" si="17"/>
        <v>0</v>
      </c>
      <c r="CN736" s="1489"/>
      <c r="CO736" s="3"/>
      <c r="CP736" s="1482">
        <f t="shared" si="18"/>
        <v>0</v>
      </c>
      <c r="CQ736" s="1483"/>
      <c r="CR736" s="1483"/>
      <c r="CS736" s="1483"/>
      <c r="CT736" s="1484"/>
      <c r="CU736" s="1486">
        <f t="shared" si="19"/>
        <v>0</v>
      </c>
      <c r="CV736" s="1486"/>
      <c r="CW736" s="1486"/>
      <c r="CX736" s="1486"/>
      <c r="CY736" s="1486"/>
      <c r="CZ736" s="1486">
        <f t="shared" si="20"/>
        <v>0</v>
      </c>
      <c r="DA736" s="1486"/>
      <c r="DB736" s="1486"/>
      <c r="DC736" s="1486"/>
      <c r="DD736" s="1486"/>
      <c r="DE736" s="1486">
        <f t="shared" si="21"/>
        <v>0</v>
      </c>
      <c r="DF736" s="1486"/>
      <c r="DG736" s="1486"/>
      <c r="DH736" s="1486"/>
      <c r="DI736" s="1486"/>
      <c r="DJ736" s="1486">
        <f t="shared" si="22"/>
        <v>0</v>
      </c>
      <c r="DK736" s="1486"/>
      <c r="DL736" s="1486"/>
      <c r="DM736" s="1486"/>
      <c r="DN736" s="1486"/>
      <c r="DO736" s="1486">
        <f t="shared" si="23"/>
        <v>0</v>
      </c>
      <c r="DP736" s="1486"/>
      <c r="DQ736" s="1486"/>
      <c r="DR736" s="1486"/>
      <c r="DS736" s="1486"/>
      <c r="DT736" s="6"/>
      <c r="DU736" s="1487">
        <f t="shared" si="24"/>
        <v>0</v>
      </c>
      <c r="DV736" s="1487"/>
      <c r="DW736" s="1487"/>
      <c r="DX736" s="1487"/>
      <c r="DY736" s="1487"/>
      <c r="DZ736" s="1487">
        <f t="shared" si="25"/>
        <v>0</v>
      </c>
      <c r="EA736" s="1487"/>
      <c r="EB736" s="1487"/>
      <c r="EC736" s="1487"/>
      <c r="ED736" s="1487"/>
      <c r="EE736" s="1487">
        <f t="shared" si="26"/>
        <v>0</v>
      </c>
      <c r="EF736" s="1487"/>
      <c r="EG736" s="1487"/>
      <c r="EH736" s="1487"/>
      <c r="EI736" s="1487"/>
      <c r="EJ736" s="1487">
        <f t="shared" si="27"/>
        <v>0</v>
      </c>
      <c r="EK736" s="1487"/>
      <c r="EL736" s="1487"/>
      <c r="EM736" s="1487"/>
      <c r="EN736" s="1487"/>
      <c r="EO736" s="1487">
        <f t="shared" si="28"/>
        <v>0</v>
      </c>
      <c r="EP736" s="1487"/>
      <c r="EQ736" s="1487"/>
      <c r="ER736" s="1487"/>
      <c r="ES736" s="1487"/>
      <c r="ET736" s="1487">
        <f t="shared" si="29"/>
        <v>0</v>
      </c>
      <c r="EU736" s="1487"/>
      <c r="EV736" s="1487"/>
      <c r="EW736" s="1487"/>
      <c r="EX736" s="1487"/>
      <c r="EZ736" s="1490" t="str">
        <f t="shared" si="30"/>
        <v/>
      </c>
      <c r="FA736" s="1492"/>
      <c r="FB736" s="1492"/>
      <c r="FC736" s="1492"/>
      <c r="FD736" s="1491"/>
      <c r="FE736" s="1490" t="str">
        <f t="shared" si="31"/>
        <v/>
      </c>
      <c r="FF736" s="1492"/>
      <c r="FG736" s="1492"/>
      <c r="FH736" s="1492"/>
      <c r="FI736" s="1491"/>
      <c r="FJ736" s="1490" t="str">
        <f t="shared" si="32"/>
        <v/>
      </c>
      <c r="FK736" s="1492"/>
      <c r="FL736" s="1492"/>
      <c r="FM736" s="1492"/>
      <c r="FN736" s="1491"/>
      <c r="FO736" s="1490" t="str">
        <f t="shared" si="33"/>
        <v/>
      </c>
      <c r="FP736" s="1492"/>
      <c r="FQ736" s="1492"/>
      <c r="FR736" s="1492"/>
      <c r="FS736" s="1491"/>
      <c r="FT736" s="1490" t="str">
        <f t="shared" si="34"/>
        <v/>
      </c>
      <c r="FU736" s="1492"/>
      <c r="FV736" s="1492"/>
      <c r="FW736" s="1492"/>
      <c r="FX736" s="1491"/>
      <c r="FY736" s="1490" t="str">
        <f t="shared" si="35"/>
        <v/>
      </c>
      <c r="FZ736" s="1492"/>
      <c r="GA736" s="1492"/>
      <c r="GB736" s="1492"/>
      <c r="GC736" s="1491"/>
    </row>
    <row r="737" spans="1:185" ht="12.95" customHeight="1">
      <c r="B737" s="1350"/>
      <c r="C737" s="1351"/>
      <c r="D737" s="1351"/>
      <c r="E737" s="1351"/>
      <c r="F737" s="1352"/>
      <c r="G737" s="1354"/>
      <c r="H737" s="1355"/>
      <c r="I737" s="1355"/>
      <c r="J737" s="1356"/>
      <c r="K737" s="1344"/>
      <c r="L737" s="1345"/>
      <c r="M737" s="1345"/>
      <c r="N737" s="1346"/>
      <c r="O737" s="1341"/>
      <c r="P737" s="1342"/>
      <c r="Q737" s="1342"/>
      <c r="R737" s="1342"/>
      <c r="S737" s="1343"/>
      <c r="T737" s="1341"/>
      <c r="U737" s="1342"/>
      <c r="V737" s="1342"/>
      <c r="W737" s="1343"/>
      <c r="X737" s="1357">
        <f t="shared" si="8"/>
        <v>0</v>
      </c>
      <c r="Y737" s="1358"/>
      <c r="Z737" s="1358"/>
      <c r="AA737" s="1358"/>
      <c r="AB737" s="1359"/>
      <c r="AC737" s="1364"/>
      <c r="AD737" s="1365"/>
      <c r="AE737" s="1365"/>
      <c r="AF737" s="1365"/>
      <c r="AG737" s="1366"/>
      <c r="AH737" s="1360" t="str">
        <f t="shared" si="36"/>
        <v/>
      </c>
      <c r="AI737" s="1361"/>
      <c r="AJ737" s="1362"/>
      <c r="AK737" s="1350" t="s">
        <v>592</v>
      </c>
      <c r="AL737" s="1351"/>
      <c r="AM737" s="1351"/>
      <c r="AN737" s="1351"/>
      <c r="AO737" s="1352"/>
      <c r="AP737" s="3"/>
      <c r="AQ737" s="3"/>
      <c r="AR737" s="3"/>
      <c r="AS737" s="3"/>
      <c r="AY737" s="1084"/>
      <c r="AZ737" s="118" t="str">
        <f t="shared" si="9"/>
        <v>N/A</v>
      </c>
      <c r="BA737" s="3"/>
      <c r="BB737" s="3"/>
      <c r="BC737" s="3"/>
      <c r="BD737" s="3"/>
      <c r="BE737" s="204"/>
      <c r="BF737" s="293">
        <f t="shared" si="10"/>
        <v>0</v>
      </c>
      <c r="BG737" s="296">
        <f t="shared" si="11"/>
        <v>0</v>
      </c>
      <c r="BH737" s="297" t="str">
        <f t="shared" si="12"/>
        <v/>
      </c>
      <c r="BI737" s="3"/>
      <c r="BJ737" s="3"/>
      <c r="BK737" s="3"/>
      <c r="BL737" s="3"/>
      <c r="BM737" s="3"/>
      <c r="BN737" s="3"/>
      <c r="BS737" s="293">
        <f t="shared" si="13"/>
        <v>0</v>
      </c>
      <c r="BT737" s="296">
        <f t="shared" si="14"/>
        <v>0</v>
      </c>
      <c r="BU737" s="297" t="str">
        <f t="shared" si="15"/>
        <v/>
      </c>
      <c r="BV737" s="3"/>
      <c r="BW737" s="3"/>
      <c r="BX737" s="3"/>
      <c r="BY737" s="3"/>
      <c r="BZ737" s="3"/>
      <c r="CA737" s="3"/>
      <c r="CB737" s="3"/>
      <c r="CC737" s="3"/>
      <c r="CE737" s="3"/>
      <c r="CF737" s="3"/>
      <c r="CG737" s="1490">
        <f t="shared" si="37"/>
        <v>0</v>
      </c>
      <c r="CH737" s="1491"/>
      <c r="CI737" s="1488">
        <f t="shared" si="38"/>
        <v>0</v>
      </c>
      <c r="CJ737" s="1489"/>
      <c r="CK737" s="1490">
        <f t="shared" si="16"/>
        <v>0</v>
      </c>
      <c r="CL737" s="1491"/>
      <c r="CM737" s="1488">
        <f t="shared" si="17"/>
        <v>0</v>
      </c>
      <c r="CN737" s="1489"/>
      <c r="CO737" s="3"/>
      <c r="CP737" s="1482">
        <f t="shared" si="18"/>
        <v>0</v>
      </c>
      <c r="CQ737" s="1483"/>
      <c r="CR737" s="1483"/>
      <c r="CS737" s="1483"/>
      <c r="CT737" s="1484"/>
      <c r="CU737" s="1486">
        <f t="shared" si="19"/>
        <v>0</v>
      </c>
      <c r="CV737" s="1486"/>
      <c r="CW737" s="1486"/>
      <c r="CX737" s="1486"/>
      <c r="CY737" s="1486"/>
      <c r="CZ737" s="1486">
        <f t="shared" si="20"/>
        <v>0</v>
      </c>
      <c r="DA737" s="1486"/>
      <c r="DB737" s="1486"/>
      <c r="DC737" s="1486"/>
      <c r="DD737" s="1486"/>
      <c r="DE737" s="1486">
        <f t="shared" si="21"/>
        <v>0</v>
      </c>
      <c r="DF737" s="1486"/>
      <c r="DG737" s="1486"/>
      <c r="DH737" s="1486"/>
      <c r="DI737" s="1486"/>
      <c r="DJ737" s="1486">
        <f t="shared" si="22"/>
        <v>0</v>
      </c>
      <c r="DK737" s="1486"/>
      <c r="DL737" s="1486"/>
      <c r="DM737" s="1486"/>
      <c r="DN737" s="1486"/>
      <c r="DO737" s="1486">
        <f t="shared" si="23"/>
        <v>0</v>
      </c>
      <c r="DP737" s="1486"/>
      <c r="DQ737" s="1486"/>
      <c r="DR737" s="1486"/>
      <c r="DS737" s="1486"/>
      <c r="DT737" s="6"/>
      <c r="DU737" s="1487">
        <f t="shared" si="24"/>
        <v>0</v>
      </c>
      <c r="DV737" s="1487"/>
      <c r="DW737" s="1487"/>
      <c r="DX737" s="1487"/>
      <c r="DY737" s="1487"/>
      <c r="DZ737" s="1487">
        <f t="shared" si="25"/>
        <v>0</v>
      </c>
      <c r="EA737" s="1487"/>
      <c r="EB737" s="1487"/>
      <c r="EC737" s="1487"/>
      <c r="ED737" s="1487"/>
      <c r="EE737" s="1487">
        <f t="shared" si="26"/>
        <v>0</v>
      </c>
      <c r="EF737" s="1487"/>
      <c r="EG737" s="1487"/>
      <c r="EH737" s="1487"/>
      <c r="EI737" s="1487"/>
      <c r="EJ737" s="1487">
        <f t="shared" si="27"/>
        <v>0</v>
      </c>
      <c r="EK737" s="1487"/>
      <c r="EL737" s="1487"/>
      <c r="EM737" s="1487"/>
      <c r="EN737" s="1487"/>
      <c r="EO737" s="1487">
        <f t="shared" si="28"/>
        <v>0</v>
      </c>
      <c r="EP737" s="1487"/>
      <c r="EQ737" s="1487"/>
      <c r="ER737" s="1487"/>
      <c r="ES737" s="1487"/>
      <c r="ET737" s="1487">
        <f t="shared" si="29"/>
        <v>0</v>
      </c>
      <c r="EU737" s="1487"/>
      <c r="EV737" s="1487"/>
      <c r="EW737" s="1487"/>
      <c r="EX737" s="1487"/>
      <c r="EZ737" s="1490" t="str">
        <f t="shared" si="30"/>
        <v/>
      </c>
      <c r="FA737" s="1492"/>
      <c r="FB737" s="1492"/>
      <c r="FC737" s="1492"/>
      <c r="FD737" s="1491"/>
      <c r="FE737" s="1490" t="str">
        <f t="shared" si="31"/>
        <v/>
      </c>
      <c r="FF737" s="1492"/>
      <c r="FG737" s="1492"/>
      <c r="FH737" s="1492"/>
      <c r="FI737" s="1491"/>
      <c r="FJ737" s="1490" t="str">
        <f t="shared" si="32"/>
        <v/>
      </c>
      <c r="FK737" s="1492"/>
      <c r="FL737" s="1492"/>
      <c r="FM737" s="1492"/>
      <c r="FN737" s="1491"/>
      <c r="FO737" s="1490" t="str">
        <f t="shared" si="33"/>
        <v/>
      </c>
      <c r="FP737" s="1492"/>
      <c r="FQ737" s="1492"/>
      <c r="FR737" s="1492"/>
      <c r="FS737" s="1491"/>
      <c r="FT737" s="1490" t="str">
        <f t="shared" si="34"/>
        <v/>
      </c>
      <c r="FU737" s="1492"/>
      <c r="FV737" s="1492"/>
      <c r="FW737" s="1492"/>
      <c r="FX737" s="1491"/>
      <c r="FY737" s="1490" t="str">
        <f t="shared" si="35"/>
        <v/>
      </c>
      <c r="FZ737" s="1492"/>
      <c r="GA737" s="1492"/>
      <c r="GB737" s="1492"/>
      <c r="GC737" s="1491"/>
    </row>
    <row r="738" spans="1:185" ht="12.95" customHeight="1">
      <c r="B738" s="1350"/>
      <c r="C738" s="1351"/>
      <c r="D738" s="1351"/>
      <c r="E738" s="1351"/>
      <c r="F738" s="1352"/>
      <c r="G738" s="1354"/>
      <c r="H738" s="1355"/>
      <c r="I738" s="1355"/>
      <c r="J738" s="1356"/>
      <c r="K738" s="1344"/>
      <c r="L738" s="1345"/>
      <c r="M738" s="1345"/>
      <c r="N738" s="1346"/>
      <c r="O738" s="1341"/>
      <c r="P738" s="1342"/>
      <c r="Q738" s="1342"/>
      <c r="R738" s="1342"/>
      <c r="S738" s="1343"/>
      <c r="T738" s="1341"/>
      <c r="U738" s="1342"/>
      <c r="V738" s="1342"/>
      <c r="W738" s="1343"/>
      <c r="X738" s="1357">
        <f t="shared" si="8"/>
        <v>0</v>
      </c>
      <c r="Y738" s="1358"/>
      <c r="Z738" s="1358"/>
      <c r="AA738" s="1358"/>
      <c r="AB738" s="1359"/>
      <c r="AC738" s="1364"/>
      <c r="AD738" s="1365"/>
      <c r="AE738" s="1365"/>
      <c r="AF738" s="1365"/>
      <c r="AG738" s="1366"/>
      <c r="AH738" s="1360" t="str">
        <f t="shared" si="36"/>
        <v/>
      </c>
      <c r="AI738" s="1361"/>
      <c r="AJ738" s="1362"/>
      <c r="AK738" s="1350" t="s">
        <v>592</v>
      </c>
      <c r="AL738" s="1351"/>
      <c r="AM738" s="1351"/>
      <c r="AN738" s="1351"/>
      <c r="AO738" s="1352"/>
      <c r="AP738" s="3"/>
      <c r="AQ738" s="3"/>
      <c r="AR738" s="3"/>
      <c r="AS738" s="3"/>
      <c r="AY738" s="1084"/>
      <c r="AZ738" s="118" t="str">
        <f t="shared" si="9"/>
        <v>N/A</v>
      </c>
      <c r="BA738" s="3"/>
      <c r="BE738" s="204"/>
      <c r="BF738" s="293">
        <f t="shared" si="10"/>
        <v>0</v>
      </c>
      <c r="BG738" s="296">
        <f t="shared" si="11"/>
        <v>0</v>
      </c>
      <c r="BH738" s="297" t="str">
        <f t="shared" si="12"/>
        <v/>
      </c>
      <c r="BK738" s="3"/>
      <c r="BL738" s="3"/>
      <c r="BM738" s="3"/>
      <c r="BN738" s="3"/>
      <c r="BS738" s="293">
        <f t="shared" si="13"/>
        <v>0</v>
      </c>
      <c r="BT738" s="296">
        <f t="shared" si="14"/>
        <v>0</v>
      </c>
      <c r="BU738" s="297" t="str">
        <f t="shared" si="15"/>
        <v/>
      </c>
      <c r="BV738" s="3"/>
      <c r="BW738" s="3"/>
      <c r="BX738" s="3"/>
      <c r="BY738" s="3"/>
      <c r="BZ738" s="3"/>
      <c r="CA738" s="3"/>
      <c r="CB738" s="3"/>
      <c r="CC738" s="3"/>
      <c r="CE738" s="3"/>
      <c r="CF738" s="3"/>
      <c r="CG738" s="1490">
        <f t="shared" si="37"/>
        <v>0</v>
      </c>
      <c r="CH738" s="1491"/>
      <c r="CI738" s="1488">
        <f t="shared" si="38"/>
        <v>0</v>
      </c>
      <c r="CJ738" s="1489"/>
      <c r="CK738" s="1490">
        <f t="shared" si="16"/>
        <v>0</v>
      </c>
      <c r="CL738" s="1491"/>
      <c r="CM738" s="1488">
        <f t="shared" si="17"/>
        <v>0</v>
      </c>
      <c r="CN738" s="1489"/>
      <c r="CO738" s="3"/>
      <c r="CP738" s="1482">
        <f t="shared" si="18"/>
        <v>0</v>
      </c>
      <c r="CQ738" s="1483"/>
      <c r="CR738" s="1483"/>
      <c r="CS738" s="1483"/>
      <c r="CT738" s="1484"/>
      <c r="CU738" s="1486">
        <f t="shared" si="19"/>
        <v>0</v>
      </c>
      <c r="CV738" s="1486"/>
      <c r="CW738" s="1486"/>
      <c r="CX738" s="1486"/>
      <c r="CY738" s="1486"/>
      <c r="CZ738" s="1486">
        <f t="shared" si="20"/>
        <v>0</v>
      </c>
      <c r="DA738" s="1486"/>
      <c r="DB738" s="1486"/>
      <c r="DC738" s="1486"/>
      <c r="DD738" s="1486"/>
      <c r="DE738" s="1486">
        <f t="shared" si="21"/>
        <v>0</v>
      </c>
      <c r="DF738" s="1486"/>
      <c r="DG738" s="1486"/>
      <c r="DH738" s="1486"/>
      <c r="DI738" s="1486"/>
      <c r="DJ738" s="1486">
        <f t="shared" si="22"/>
        <v>0</v>
      </c>
      <c r="DK738" s="1486"/>
      <c r="DL738" s="1486"/>
      <c r="DM738" s="1486"/>
      <c r="DN738" s="1486"/>
      <c r="DO738" s="1486">
        <f t="shared" si="23"/>
        <v>0</v>
      </c>
      <c r="DP738" s="1486"/>
      <c r="DQ738" s="1486"/>
      <c r="DR738" s="1486"/>
      <c r="DS738" s="1486"/>
      <c r="DT738" s="6"/>
      <c r="DU738" s="1487">
        <f t="shared" si="24"/>
        <v>0</v>
      </c>
      <c r="DV738" s="1487"/>
      <c r="DW738" s="1487"/>
      <c r="DX738" s="1487"/>
      <c r="DY738" s="1487"/>
      <c r="DZ738" s="1487">
        <f t="shared" si="25"/>
        <v>0</v>
      </c>
      <c r="EA738" s="1487"/>
      <c r="EB738" s="1487"/>
      <c r="EC738" s="1487"/>
      <c r="ED738" s="1487"/>
      <c r="EE738" s="1487">
        <f t="shared" si="26"/>
        <v>0</v>
      </c>
      <c r="EF738" s="1487"/>
      <c r="EG738" s="1487"/>
      <c r="EH738" s="1487"/>
      <c r="EI738" s="1487"/>
      <c r="EJ738" s="1487">
        <f t="shared" si="27"/>
        <v>0</v>
      </c>
      <c r="EK738" s="1487"/>
      <c r="EL738" s="1487"/>
      <c r="EM738" s="1487"/>
      <c r="EN738" s="1487"/>
      <c r="EO738" s="1487">
        <f t="shared" si="28"/>
        <v>0</v>
      </c>
      <c r="EP738" s="1487"/>
      <c r="EQ738" s="1487"/>
      <c r="ER738" s="1487"/>
      <c r="ES738" s="1487"/>
      <c r="ET738" s="1487">
        <f t="shared" si="29"/>
        <v>0</v>
      </c>
      <c r="EU738" s="1487"/>
      <c r="EV738" s="1487"/>
      <c r="EW738" s="1487"/>
      <c r="EX738" s="1487"/>
      <c r="EZ738" s="1490" t="str">
        <f t="shared" si="30"/>
        <v/>
      </c>
      <c r="FA738" s="1492"/>
      <c r="FB738" s="1492"/>
      <c r="FC738" s="1492"/>
      <c r="FD738" s="1491"/>
      <c r="FE738" s="1490" t="str">
        <f t="shared" si="31"/>
        <v/>
      </c>
      <c r="FF738" s="1492"/>
      <c r="FG738" s="1492"/>
      <c r="FH738" s="1492"/>
      <c r="FI738" s="1491"/>
      <c r="FJ738" s="1490" t="str">
        <f t="shared" si="32"/>
        <v/>
      </c>
      <c r="FK738" s="1492"/>
      <c r="FL738" s="1492"/>
      <c r="FM738" s="1492"/>
      <c r="FN738" s="1491"/>
      <c r="FO738" s="1490" t="str">
        <f t="shared" si="33"/>
        <v/>
      </c>
      <c r="FP738" s="1492"/>
      <c r="FQ738" s="1492"/>
      <c r="FR738" s="1492"/>
      <c r="FS738" s="1491"/>
      <c r="FT738" s="1490" t="str">
        <f t="shared" si="34"/>
        <v/>
      </c>
      <c r="FU738" s="1492"/>
      <c r="FV738" s="1492"/>
      <c r="FW738" s="1492"/>
      <c r="FX738" s="1491"/>
      <c r="FY738" s="1490" t="str">
        <f t="shared" si="35"/>
        <v/>
      </c>
      <c r="FZ738" s="1492"/>
      <c r="GA738" s="1492"/>
      <c r="GB738" s="1492"/>
      <c r="GC738" s="1491"/>
    </row>
    <row r="739" spans="1:185" ht="12.95" customHeight="1">
      <c r="B739" s="1350"/>
      <c r="C739" s="1351"/>
      <c r="D739" s="1351"/>
      <c r="E739" s="1351"/>
      <c r="F739" s="1352"/>
      <c r="G739" s="1354"/>
      <c r="H739" s="1355"/>
      <c r="I739" s="1355"/>
      <c r="J739" s="1356"/>
      <c r="K739" s="1344"/>
      <c r="L739" s="1345"/>
      <c r="M739" s="1345"/>
      <c r="N739" s="1346"/>
      <c r="O739" s="1341"/>
      <c r="P739" s="1342"/>
      <c r="Q739" s="1342"/>
      <c r="R739" s="1342"/>
      <c r="S739" s="1343"/>
      <c r="T739" s="1341"/>
      <c r="U739" s="1342"/>
      <c r="V739" s="1342"/>
      <c r="W739" s="1343"/>
      <c r="X739" s="1357">
        <f t="shared" si="8"/>
        <v>0</v>
      </c>
      <c r="Y739" s="1358"/>
      <c r="Z739" s="1358"/>
      <c r="AA739" s="1358"/>
      <c r="AB739" s="1359"/>
      <c r="AC739" s="1364"/>
      <c r="AD739" s="1365"/>
      <c r="AE739" s="1365"/>
      <c r="AF739" s="1365"/>
      <c r="AG739" s="1366"/>
      <c r="AH739" s="1360" t="str">
        <f t="shared" si="36"/>
        <v/>
      </c>
      <c r="AI739" s="1361"/>
      <c r="AJ739" s="1362"/>
      <c r="AK739" s="1350" t="s">
        <v>592</v>
      </c>
      <c r="AL739" s="1351"/>
      <c r="AM739" s="1351"/>
      <c r="AN739" s="1351"/>
      <c r="AO739" s="1352"/>
      <c r="AP739" s="3"/>
      <c r="AQ739" s="3"/>
      <c r="AR739" s="3"/>
      <c r="AS739" s="3"/>
      <c r="AY739" s="1084"/>
      <c r="AZ739" s="118" t="str">
        <f t="shared" si="9"/>
        <v>N/A</v>
      </c>
      <c r="BA739" s="3"/>
      <c r="BE739" s="204"/>
      <c r="BF739" s="293">
        <f t="shared" si="10"/>
        <v>0</v>
      </c>
      <c r="BG739" s="296">
        <f t="shared" si="11"/>
        <v>0</v>
      </c>
      <c r="BH739" s="297" t="str">
        <f t="shared" si="12"/>
        <v/>
      </c>
      <c r="BK739" s="3"/>
      <c r="BL739" s="3"/>
      <c r="BM739" s="3"/>
      <c r="BN739" s="3"/>
      <c r="BS739" s="293">
        <f t="shared" si="13"/>
        <v>0</v>
      </c>
      <c r="BT739" s="296">
        <f t="shared" si="14"/>
        <v>0</v>
      </c>
      <c r="BU739" s="297" t="str">
        <f t="shared" si="15"/>
        <v/>
      </c>
      <c r="BV739" s="3"/>
      <c r="BW739" s="3"/>
      <c r="BX739" s="3"/>
      <c r="BY739" s="3"/>
      <c r="BZ739" s="3"/>
      <c r="CA739" s="3"/>
      <c r="CB739" s="3"/>
      <c r="CC739" s="3"/>
      <c r="CE739" s="3"/>
      <c r="CF739" s="3"/>
      <c r="CG739" s="1490">
        <f t="shared" si="37"/>
        <v>0</v>
      </c>
      <c r="CH739" s="1491"/>
      <c r="CI739" s="1488">
        <f t="shared" si="38"/>
        <v>0</v>
      </c>
      <c r="CJ739" s="1489"/>
      <c r="CK739" s="1490">
        <f t="shared" si="16"/>
        <v>0</v>
      </c>
      <c r="CL739" s="1491"/>
      <c r="CM739" s="1488">
        <f t="shared" si="17"/>
        <v>0</v>
      </c>
      <c r="CN739" s="1489"/>
      <c r="CO739" s="3"/>
      <c r="CP739" s="1482">
        <f t="shared" si="18"/>
        <v>0</v>
      </c>
      <c r="CQ739" s="1483"/>
      <c r="CR739" s="1483"/>
      <c r="CS739" s="1483"/>
      <c r="CT739" s="1484"/>
      <c r="CU739" s="1486">
        <f t="shared" si="19"/>
        <v>0</v>
      </c>
      <c r="CV739" s="1486"/>
      <c r="CW739" s="1486"/>
      <c r="CX739" s="1486"/>
      <c r="CY739" s="1486"/>
      <c r="CZ739" s="1486">
        <f t="shared" si="20"/>
        <v>0</v>
      </c>
      <c r="DA739" s="1486"/>
      <c r="DB739" s="1486"/>
      <c r="DC739" s="1486"/>
      <c r="DD739" s="1486"/>
      <c r="DE739" s="1486">
        <f t="shared" si="21"/>
        <v>0</v>
      </c>
      <c r="DF739" s="1486"/>
      <c r="DG739" s="1486"/>
      <c r="DH739" s="1486"/>
      <c r="DI739" s="1486"/>
      <c r="DJ739" s="1486">
        <f t="shared" si="22"/>
        <v>0</v>
      </c>
      <c r="DK739" s="1486"/>
      <c r="DL739" s="1486"/>
      <c r="DM739" s="1486"/>
      <c r="DN739" s="1486"/>
      <c r="DO739" s="1486">
        <f t="shared" si="23"/>
        <v>0</v>
      </c>
      <c r="DP739" s="1486"/>
      <c r="DQ739" s="1486"/>
      <c r="DR739" s="1486"/>
      <c r="DS739" s="1486"/>
      <c r="DT739" s="6"/>
      <c r="DU739" s="1487">
        <f t="shared" si="24"/>
        <v>0</v>
      </c>
      <c r="DV739" s="1487"/>
      <c r="DW739" s="1487"/>
      <c r="DX739" s="1487"/>
      <c r="DY739" s="1487"/>
      <c r="DZ739" s="1487">
        <f t="shared" si="25"/>
        <v>0</v>
      </c>
      <c r="EA739" s="1487"/>
      <c r="EB739" s="1487"/>
      <c r="EC739" s="1487"/>
      <c r="ED739" s="1487"/>
      <c r="EE739" s="1487">
        <f t="shared" si="26"/>
        <v>0</v>
      </c>
      <c r="EF739" s="1487"/>
      <c r="EG739" s="1487"/>
      <c r="EH739" s="1487"/>
      <c r="EI739" s="1487"/>
      <c r="EJ739" s="1487">
        <f t="shared" si="27"/>
        <v>0</v>
      </c>
      <c r="EK739" s="1487"/>
      <c r="EL739" s="1487"/>
      <c r="EM739" s="1487"/>
      <c r="EN739" s="1487"/>
      <c r="EO739" s="1487">
        <f t="shared" si="28"/>
        <v>0</v>
      </c>
      <c r="EP739" s="1487"/>
      <c r="EQ739" s="1487"/>
      <c r="ER739" s="1487"/>
      <c r="ES739" s="1487"/>
      <c r="ET739" s="1487">
        <f t="shared" si="29"/>
        <v>0</v>
      </c>
      <c r="EU739" s="1487"/>
      <c r="EV739" s="1487"/>
      <c r="EW739" s="1487"/>
      <c r="EX739" s="1487"/>
      <c r="EZ739" s="1490" t="str">
        <f t="shared" si="30"/>
        <v/>
      </c>
      <c r="FA739" s="1492"/>
      <c r="FB739" s="1492"/>
      <c r="FC739" s="1492"/>
      <c r="FD739" s="1491"/>
      <c r="FE739" s="1490" t="str">
        <f t="shared" si="31"/>
        <v/>
      </c>
      <c r="FF739" s="1492"/>
      <c r="FG739" s="1492"/>
      <c r="FH739" s="1492"/>
      <c r="FI739" s="1491"/>
      <c r="FJ739" s="1490" t="str">
        <f t="shared" si="32"/>
        <v/>
      </c>
      <c r="FK739" s="1492"/>
      <c r="FL739" s="1492"/>
      <c r="FM739" s="1492"/>
      <c r="FN739" s="1491"/>
      <c r="FO739" s="1490" t="str">
        <f t="shared" si="33"/>
        <v/>
      </c>
      <c r="FP739" s="1492"/>
      <c r="FQ739" s="1492"/>
      <c r="FR739" s="1492"/>
      <c r="FS739" s="1491"/>
      <c r="FT739" s="1490" t="str">
        <f t="shared" si="34"/>
        <v/>
      </c>
      <c r="FU739" s="1492"/>
      <c r="FV739" s="1492"/>
      <c r="FW739" s="1492"/>
      <c r="FX739" s="1491"/>
      <c r="FY739" s="1490" t="str">
        <f t="shared" si="35"/>
        <v/>
      </c>
      <c r="FZ739" s="1492"/>
      <c r="GA739" s="1492"/>
      <c r="GB739" s="1492"/>
      <c r="GC739" s="1491"/>
    </row>
    <row r="740" spans="1:185" ht="12.95" customHeight="1">
      <c r="B740" s="1350"/>
      <c r="C740" s="1351"/>
      <c r="D740" s="1351"/>
      <c r="E740" s="1351"/>
      <c r="F740" s="1352"/>
      <c r="G740" s="1354"/>
      <c r="H740" s="1355"/>
      <c r="I740" s="1355"/>
      <c r="J740" s="1356"/>
      <c r="K740" s="1344"/>
      <c r="L740" s="1345"/>
      <c r="M740" s="1345"/>
      <c r="N740" s="1346"/>
      <c r="O740" s="1341"/>
      <c r="P740" s="1342"/>
      <c r="Q740" s="1342"/>
      <c r="R740" s="1342"/>
      <c r="S740" s="1343"/>
      <c r="T740" s="1341"/>
      <c r="U740" s="1342"/>
      <c r="V740" s="1342"/>
      <c r="W740" s="1343"/>
      <c r="X740" s="1357">
        <f t="shared" si="8"/>
        <v>0</v>
      </c>
      <c r="Y740" s="1358"/>
      <c r="Z740" s="1358"/>
      <c r="AA740" s="1358"/>
      <c r="AB740" s="1359"/>
      <c r="AC740" s="1364"/>
      <c r="AD740" s="1365"/>
      <c r="AE740" s="1365"/>
      <c r="AF740" s="1365"/>
      <c r="AG740" s="1366"/>
      <c r="AH740" s="1360" t="str">
        <f t="shared" si="36"/>
        <v/>
      </c>
      <c r="AI740" s="1361"/>
      <c r="AJ740" s="1362"/>
      <c r="AK740" s="1350" t="s">
        <v>592</v>
      </c>
      <c r="AL740" s="1351"/>
      <c r="AM740" s="1351"/>
      <c r="AN740" s="1351"/>
      <c r="AO740" s="1352"/>
      <c r="AP740" s="3"/>
      <c r="AQ740" s="3"/>
      <c r="AR740" s="3"/>
      <c r="AS740" s="3"/>
      <c r="AY740" s="1084"/>
      <c r="AZ740" s="118" t="str">
        <f t="shared" si="9"/>
        <v>N/A</v>
      </c>
      <c r="BA740" s="3"/>
      <c r="BE740" s="204"/>
      <c r="BF740" s="293">
        <f t="shared" si="10"/>
        <v>0</v>
      </c>
      <c r="BG740" s="296">
        <f t="shared" si="11"/>
        <v>0</v>
      </c>
      <c r="BH740" s="297" t="str">
        <f t="shared" si="12"/>
        <v/>
      </c>
      <c r="BK740" s="3"/>
      <c r="BL740" s="3"/>
      <c r="BM740" s="3"/>
      <c r="BN740" s="3"/>
      <c r="BS740" s="293">
        <f t="shared" si="13"/>
        <v>0</v>
      </c>
      <c r="BT740" s="296">
        <f t="shared" si="14"/>
        <v>0</v>
      </c>
      <c r="BU740" s="297" t="str">
        <f t="shared" si="15"/>
        <v/>
      </c>
      <c r="BV740" s="3"/>
      <c r="BW740" s="3"/>
      <c r="BX740" s="3"/>
      <c r="BY740" s="3"/>
      <c r="BZ740" s="3"/>
      <c r="CA740" s="3"/>
      <c r="CB740" s="3"/>
      <c r="CC740" s="3"/>
      <c r="CE740" s="3"/>
      <c r="CF740" s="3"/>
      <c r="CG740" s="1490">
        <f t="shared" si="37"/>
        <v>0</v>
      </c>
      <c r="CH740" s="1491"/>
      <c r="CI740" s="1488">
        <f t="shared" si="38"/>
        <v>0</v>
      </c>
      <c r="CJ740" s="1489"/>
      <c r="CK740" s="1490">
        <f t="shared" si="16"/>
        <v>0</v>
      </c>
      <c r="CL740" s="1491"/>
      <c r="CM740" s="1488">
        <f t="shared" si="17"/>
        <v>0</v>
      </c>
      <c r="CN740" s="1489"/>
      <c r="CO740" s="3"/>
      <c r="CP740" s="1482">
        <f t="shared" si="18"/>
        <v>0</v>
      </c>
      <c r="CQ740" s="1483"/>
      <c r="CR740" s="1483"/>
      <c r="CS740" s="1483"/>
      <c r="CT740" s="1484"/>
      <c r="CU740" s="1486">
        <f t="shared" si="19"/>
        <v>0</v>
      </c>
      <c r="CV740" s="1486"/>
      <c r="CW740" s="1486"/>
      <c r="CX740" s="1486"/>
      <c r="CY740" s="1486"/>
      <c r="CZ740" s="1486">
        <f t="shared" si="20"/>
        <v>0</v>
      </c>
      <c r="DA740" s="1486"/>
      <c r="DB740" s="1486"/>
      <c r="DC740" s="1486"/>
      <c r="DD740" s="1486"/>
      <c r="DE740" s="1486">
        <f t="shared" si="21"/>
        <v>0</v>
      </c>
      <c r="DF740" s="1486"/>
      <c r="DG740" s="1486"/>
      <c r="DH740" s="1486"/>
      <c r="DI740" s="1486"/>
      <c r="DJ740" s="1486">
        <f t="shared" si="22"/>
        <v>0</v>
      </c>
      <c r="DK740" s="1486"/>
      <c r="DL740" s="1486"/>
      <c r="DM740" s="1486"/>
      <c r="DN740" s="1486"/>
      <c r="DO740" s="1486">
        <f t="shared" si="23"/>
        <v>0</v>
      </c>
      <c r="DP740" s="1486"/>
      <c r="DQ740" s="1486"/>
      <c r="DR740" s="1486"/>
      <c r="DS740" s="1486"/>
      <c r="DT740" s="6"/>
      <c r="DU740" s="1487">
        <f t="shared" si="24"/>
        <v>0</v>
      </c>
      <c r="DV740" s="1487"/>
      <c r="DW740" s="1487"/>
      <c r="DX740" s="1487"/>
      <c r="DY740" s="1487"/>
      <c r="DZ740" s="1487">
        <f t="shared" si="25"/>
        <v>0</v>
      </c>
      <c r="EA740" s="1487"/>
      <c r="EB740" s="1487"/>
      <c r="EC740" s="1487"/>
      <c r="ED740" s="1487"/>
      <c r="EE740" s="1487">
        <f t="shared" si="26"/>
        <v>0</v>
      </c>
      <c r="EF740" s="1487"/>
      <c r="EG740" s="1487"/>
      <c r="EH740" s="1487"/>
      <c r="EI740" s="1487"/>
      <c r="EJ740" s="1487">
        <f t="shared" si="27"/>
        <v>0</v>
      </c>
      <c r="EK740" s="1487"/>
      <c r="EL740" s="1487"/>
      <c r="EM740" s="1487"/>
      <c r="EN740" s="1487"/>
      <c r="EO740" s="1487">
        <f t="shared" si="28"/>
        <v>0</v>
      </c>
      <c r="EP740" s="1487"/>
      <c r="EQ740" s="1487"/>
      <c r="ER740" s="1487"/>
      <c r="ES740" s="1487"/>
      <c r="ET740" s="1487">
        <f t="shared" si="29"/>
        <v>0</v>
      </c>
      <c r="EU740" s="1487"/>
      <c r="EV740" s="1487"/>
      <c r="EW740" s="1487"/>
      <c r="EX740" s="1487"/>
      <c r="EZ740" s="1490" t="str">
        <f t="shared" si="30"/>
        <v/>
      </c>
      <c r="FA740" s="1492"/>
      <c r="FB740" s="1492"/>
      <c r="FC740" s="1492"/>
      <c r="FD740" s="1491"/>
      <c r="FE740" s="1490" t="str">
        <f t="shared" si="31"/>
        <v/>
      </c>
      <c r="FF740" s="1492"/>
      <c r="FG740" s="1492"/>
      <c r="FH740" s="1492"/>
      <c r="FI740" s="1491"/>
      <c r="FJ740" s="1490" t="str">
        <f t="shared" si="32"/>
        <v/>
      </c>
      <c r="FK740" s="1492"/>
      <c r="FL740" s="1492"/>
      <c r="FM740" s="1492"/>
      <c r="FN740" s="1491"/>
      <c r="FO740" s="1490" t="str">
        <f t="shared" si="33"/>
        <v/>
      </c>
      <c r="FP740" s="1492"/>
      <c r="FQ740" s="1492"/>
      <c r="FR740" s="1492"/>
      <c r="FS740" s="1491"/>
      <c r="FT740" s="1490" t="str">
        <f t="shared" si="34"/>
        <v/>
      </c>
      <c r="FU740" s="1492"/>
      <c r="FV740" s="1492"/>
      <c r="FW740" s="1492"/>
      <c r="FX740" s="1491"/>
      <c r="FY740" s="1490" t="str">
        <f t="shared" si="35"/>
        <v/>
      </c>
      <c r="FZ740" s="1492"/>
      <c r="GA740" s="1492"/>
      <c r="GB740" s="1492"/>
      <c r="GC740" s="1491"/>
    </row>
    <row r="741" spans="1:185" ht="12.95" customHeight="1">
      <c r="B741" s="1350"/>
      <c r="C741" s="1351"/>
      <c r="D741" s="1351"/>
      <c r="E741" s="1351"/>
      <c r="F741" s="1352"/>
      <c r="G741" s="1354"/>
      <c r="H741" s="1355"/>
      <c r="I741" s="1355"/>
      <c r="J741" s="1356"/>
      <c r="K741" s="1344"/>
      <c r="L741" s="1345"/>
      <c r="M741" s="1345"/>
      <c r="N741" s="1346"/>
      <c r="O741" s="1341"/>
      <c r="P741" s="1342"/>
      <c r="Q741" s="1342"/>
      <c r="R741" s="1342"/>
      <c r="S741" s="1343"/>
      <c r="T741" s="1341"/>
      <c r="U741" s="1342"/>
      <c r="V741" s="1342"/>
      <c r="W741" s="1343"/>
      <c r="X741" s="1357">
        <f t="shared" si="8"/>
        <v>0</v>
      </c>
      <c r="Y741" s="1358"/>
      <c r="Z741" s="1358"/>
      <c r="AA741" s="1358"/>
      <c r="AB741" s="1359"/>
      <c r="AC741" s="1364"/>
      <c r="AD741" s="1365"/>
      <c r="AE741" s="1365"/>
      <c r="AF741" s="1365"/>
      <c r="AG741" s="1366"/>
      <c r="AH741" s="1360" t="str">
        <f t="shared" si="36"/>
        <v/>
      </c>
      <c r="AI741" s="1361"/>
      <c r="AJ741" s="1362"/>
      <c r="AK741" s="1350" t="s">
        <v>592</v>
      </c>
      <c r="AL741" s="1351"/>
      <c r="AM741" s="1351"/>
      <c r="AN741" s="1351"/>
      <c r="AO741" s="1352"/>
      <c r="AP741" s="3"/>
      <c r="AQ741" s="3"/>
      <c r="AR741" s="3"/>
      <c r="AS741" s="3"/>
      <c r="AY741" s="1084"/>
      <c r="AZ741" s="118" t="str">
        <f t="shared" si="9"/>
        <v>N/A</v>
      </c>
      <c r="BA741" s="3"/>
      <c r="BE741" s="204"/>
      <c r="BF741" s="293">
        <f t="shared" si="10"/>
        <v>0</v>
      </c>
      <c r="BG741" s="296">
        <f t="shared" si="11"/>
        <v>0</v>
      </c>
      <c r="BH741" s="297" t="str">
        <f t="shared" si="12"/>
        <v/>
      </c>
      <c r="BK741" s="3"/>
      <c r="BL741" s="3"/>
      <c r="BM741" s="3"/>
      <c r="BN741" s="3"/>
      <c r="BS741" s="293">
        <f t="shared" si="13"/>
        <v>0</v>
      </c>
      <c r="BT741" s="296">
        <f t="shared" si="14"/>
        <v>0</v>
      </c>
      <c r="BU741" s="297" t="str">
        <f t="shared" si="15"/>
        <v/>
      </c>
      <c r="BV741" s="3"/>
      <c r="BW741" s="3"/>
      <c r="BX741" s="3"/>
      <c r="BY741" s="3"/>
      <c r="BZ741" s="3"/>
      <c r="CA741" s="3"/>
      <c r="CB741" s="3"/>
      <c r="CC741" s="3"/>
      <c r="CE741" s="3"/>
      <c r="CF741" s="3"/>
      <c r="CG741" s="1490">
        <f t="shared" si="37"/>
        <v>0</v>
      </c>
      <c r="CH741" s="1491"/>
      <c r="CI741" s="1488">
        <f t="shared" si="38"/>
        <v>0</v>
      </c>
      <c r="CJ741" s="1489"/>
      <c r="CK741" s="1490">
        <f t="shared" si="16"/>
        <v>0</v>
      </c>
      <c r="CL741" s="1491"/>
      <c r="CM741" s="1488">
        <f t="shared" si="17"/>
        <v>0</v>
      </c>
      <c r="CN741" s="1489"/>
      <c r="CO741" s="3"/>
      <c r="CP741" s="1482">
        <f t="shared" si="18"/>
        <v>0</v>
      </c>
      <c r="CQ741" s="1483"/>
      <c r="CR741" s="1483"/>
      <c r="CS741" s="1483"/>
      <c r="CT741" s="1484"/>
      <c r="CU741" s="1486">
        <f t="shared" si="19"/>
        <v>0</v>
      </c>
      <c r="CV741" s="1486"/>
      <c r="CW741" s="1486"/>
      <c r="CX741" s="1486"/>
      <c r="CY741" s="1486"/>
      <c r="CZ741" s="1486">
        <f t="shared" si="20"/>
        <v>0</v>
      </c>
      <c r="DA741" s="1486"/>
      <c r="DB741" s="1486"/>
      <c r="DC741" s="1486"/>
      <c r="DD741" s="1486"/>
      <c r="DE741" s="1486">
        <f t="shared" si="21"/>
        <v>0</v>
      </c>
      <c r="DF741" s="1486"/>
      <c r="DG741" s="1486"/>
      <c r="DH741" s="1486"/>
      <c r="DI741" s="1486"/>
      <c r="DJ741" s="1486">
        <f t="shared" si="22"/>
        <v>0</v>
      </c>
      <c r="DK741" s="1486"/>
      <c r="DL741" s="1486"/>
      <c r="DM741" s="1486"/>
      <c r="DN741" s="1486"/>
      <c r="DO741" s="1486">
        <f t="shared" si="23"/>
        <v>0</v>
      </c>
      <c r="DP741" s="1486"/>
      <c r="DQ741" s="1486"/>
      <c r="DR741" s="1486"/>
      <c r="DS741" s="1486"/>
      <c r="DT741" s="6"/>
      <c r="DU741" s="1487">
        <f t="shared" si="24"/>
        <v>0</v>
      </c>
      <c r="DV741" s="1487"/>
      <c r="DW741" s="1487"/>
      <c r="DX741" s="1487"/>
      <c r="DY741" s="1487"/>
      <c r="DZ741" s="1487">
        <f t="shared" si="25"/>
        <v>0</v>
      </c>
      <c r="EA741" s="1487"/>
      <c r="EB741" s="1487"/>
      <c r="EC741" s="1487"/>
      <c r="ED741" s="1487"/>
      <c r="EE741" s="1487">
        <f t="shared" si="26"/>
        <v>0</v>
      </c>
      <c r="EF741" s="1487"/>
      <c r="EG741" s="1487"/>
      <c r="EH741" s="1487"/>
      <c r="EI741" s="1487"/>
      <c r="EJ741" s="1487">
        <f t="shared" si="27"/>
        <v>0</v>
      </c>
      <c r="EK741" s="1487"/>
      <c r="EL741" s="1487"/>
      <c r="EM741" s="1487"/>
      <c r="EN741" s="1487"/>
      <c r="EO741" s="1487">
        <f t="shared" si="28"/>
        <v>0</v>
      </c>
      <c r="EP741" s="1487"/>
      <c r="EQ741" s="1487"/>
      <c r="ER741" s="1487"/>
      <c r="ES741" s="1487"/>
      <c r="ET741" s="1487">
        <f t="shared" si="29"/>
        <v>0</v>
      </c>
      <c r="EU741" s="1487"/>
      <c r="EV741" s="1487"/>
      <c r="EW741" s="1487"/>
      <c r="EX741" s="1487"/>
      <c r="EZ741" s="1490" t="str">
        <f t="shared" si="30"/>
        <v/>
      </c>
      <c r="FA741" s="1492"/>
      <c r="FB741" s="1492"/>
      <c r="FC741" s="1492"/>
      <c r="FD741" s="1491"/>
      <c r="FE741" s="1490" t="str">
        <f t="shared" si="31"/>
        <v/>
      </c>
      <c r="FF741" s="1492"/>
      <c r="FG741" s="1492"/>
      <c r="FH741" s="1492"/>
      <c r="FI741" s="1491"/>
      <c r="FJ741" s="1490" t="str">
        <f t="shared" si="32"/>
        <v/>
      </c>
      <c r="FK741" s="1492"/>
      <c r="FL741" s="1492"/>
      <c r="FM741" s="1492"/>
      <c r="FN741" s="1491"/>
      <c r="FO741" s="1490" t="str">
        <f t="shared" si="33"/>
        <v/>
      </c>
      <c r="FP741" s="1492"/>
      <c r="FQ741" s="1492"/>
      <c r="FR741" s="1492"/>
      <c r="FS741" s="1491"/>
      <c r="FT741" s="1490" t="str">
        <f t="shared" si="34"/>
        <v/>
      </c>
      <c r="FU741" s="1492"/>
      <c r="FV741" s="1492"/>
      <c r="FW741" s="1492"/>
      <c r="FX741" s="1491"/>
      <c r="FY741" s="1490" t="str">
        <f t="shared" si="35"/>
        <v/>
      </c>
      <c r="FZ741" s="1492"/>
      <c r="GA741" s="1492"/>
      <c r="GB741" s="1492"/>
      <c r="GC741" s="1491"/>
    </row>
    <row r="742" spans="1:185" ht="12.95" customHeight="1">
      <c r="B742" s="1350"/>
      <c r="C742" s="1351"/>
      <c r="D742" s="1351"/>
      <c r="E742" s="1351"/>
      <c r="F742" s="1352"/>
      <c r="G742" s="1354"/>
      <c r="H742" s="1355"/>
      <c r="I742" s="1355"/>
      <c r="J742" s="1356"/>
      <c r="K742" s="1344"/>
      <c r="L742" s="1345"/>
      <c r="M742" s="1345"/>
      <c r="N742" s="1346"/>
      <c r="O742" s="1341"/>
      <c r="P742" s="1342"/>
      <c r="Q742" s="1342"/>
      <c r="R742" s="1342"/>
      <c r="S742" s="1343"/>
      <c r="T742" s="1341"/>
      <c r="U742" s="1342"/>
      <c r="V742" s="1342"/>
      <c r="W742" s="1343"/>
      <c r="X742" s="1357">
        <f t="shared" ref="X742:X751" si="39">O742+T742</f>
        <v>0</v>
      </c>
      <c r="Y742" s="1358"/>
      <c r="Z742" s="1358"/>
      <c r="AA742" s="1358"/>
      <c r="AB742" s="1359"/>
      <c r="AC742" s="1364"/>
      <c r="AD742" s="1365"/>
      <c r="AE742" s="1365"/>
      <c r="AF742" s="1365"/>
      <c r="AG742" s="1366"/>
      <c r="AH742" s="1360" t="str">
        <f t="shared" si="36"/>
        <v/>
      </c>
      <c r="AI742" s="1361"/>
      <c r="AJ742" s="1362"/>
      <c r="AK742" s="1350" t="s">
        <v>592</v>
      </c>
      <c r="AL742" s="1351"/>
      <c r="AM742" s="1351"/>
      <c r="AN742" s="1351"/>
      <c r="AO742" s="1352"/>
      <c r="AP742" s="3"/>
      <c r="AQ742" s="3"/>
      <c r="AR742" s="3"/>
      <c r="AS742" s="3"/>
      <c r="AY742" s="1084"/>
      <c r="AZ742" s="118" t="str">
        <f t="shared" si="9"/>
        <v>N/A</v>
      </c>
      <c r="BA742" s="3"/>
      <c r="BB742" s="3"/>
      <c r="BE742" s="204"/>
      <c r="BF742" s="293">
        <f t="shared" si="10"/>
        <v>0</v>
      </c>
      <c r="BG742" s="296">
        <f t="shared" si="11"/>
        <v>0</v>
      </c>
      <c r="BH742" s="297" t="str">
        <f t="shared" si="12"/>
        <v/>
      </c>
      <c r="BL742" s="3"/>
      <c r="BM742" s="3"/>
      <c r="BN742" s="3"/>
      <c r="BS742" s="293">
        <f t="shared" si="13"/>
        <v>0</v>
      </c>
      <c r="BT742" s="296">
        <f t="shared" si="14"/>
        <v>0</v>
      </c>
      <c r="BU742" s="297" t="str">
        <f t="shared" si="15"/>
        <v/>
      </c>
      <c r="BV742" s="3"/>
      <c r="BW742" s="3"/>
      <c r="BX742" s="3"/>
      <c r="BY742" s="3"/>
      <c r="BZ742" s="3"/>
      <c r="CA742" s="3"/>
      <c r="CB742" s="3"/>
      <c r="CC742" s="3"/>
      <c r="CE742" s="3"/>
      <c r="CF742" s="3"/>
      <c r="CG742" s="1490">
        <f t="shared" si="37"/>
        <v>0</v>
      </c>
      <c r="CH742" s="1491"/>
      <c r="CI742" s="1488">
        <f t="shared" si="38"/>
        <v>0</v>
      </c>
      <c r="CJ742" s="1489"/>
      <c r="CK742" s="1490">
        <f t="shared" si="16"/>
        <v>0</v>
      </c>
      <c r="CL742" s="1491"/>
      <c r="CM742" s="1488">
        <f t="shared" si="17"/>
        <v>0</v>
      </c>
      <c r="CN742" s="1489"/>
      <c r="CO742" s="3"/>
      <c r="CP742" s="1482">
        <f t="shared" si="18"/>
        <v>0</v>
      </c>
      <c r="CQ742" s="1483"/>
      <c r="CR742" s="1483"/>
      <c r="CS742" s="1483"/>
      <c r="CT742" s="1484"/>
      <c r="CU742" s="1486">
        <f t="shared" si="19"/>
        <v>0</v>
      </c>
      <c r="CV742" s="1486"/>
      <c r="CW742" s="1486"/>
      <c r="CX742" s="1486"/>
      <c r="CY742" s="1486"/>
      <c r="CZ742" s="1486">
        <f t="shared" si="20"/>
        <v>0</v>
      </c>
      <c r="DA742" s="1486"/>
      <c r="DB742" s="1486"/>
      <c r="DC742" s="1486"/>
      <c r="DD742" s="1486"/>
      <c r="DE742" s="1486">
        <f t="shared" si="21"/>
        <v>0</v>
      </c>
      <c r="DF742" s="1486"/>
      <c r="DG742" s="1486"/>
      <c r="DH742" s="1486"/>
      <c r="DI742" s="1486"/>
      <c r="DJ742" s="1486">
        <f t="shared" si="22"/>
        <v>0</v>
      </c>
      <c r="DK742" s="1486"/>
      <c r="DL742" s="1486"/>
      <c r="DM742" s="1486"/>
      <c r="DN742" s="1486"/>
      <c r="DO742" s="1486">
        <f t="shared" si="23"/>
        <v>0</v>
      </c>
      <c r="DP742" s="1486"/>
      <c r="DQ742" s="1486"/>
      <c r="DR742" s="1486"/>
      <c r="DS742" s="1486"/>
      <c r="DT742" s="6"/>
      <c r="DU742" s="1487">
        <f t="shared" si="24"/>
        <v>0</v>
      </c>
      <c r="DV742" s="1487"/>
      <c r="DW742" s="1487"/>
      <c r="DX742" s="1487"/>
      <c r="DY742" s="1487"/>
      <c r="DZ742" s="1487">
        <f t="shared" si="25"/>
        <v>0</v>
      </c>
      <c r="EA742" s="1487"/>
      <c r="EB742" s="1487"/>
      <c r="EC742" s="1487"/>
      <c r="ED742" s="1487"/>
      <c r="EE742" s="1487">
        <f t="shared" si="26"/>
        <v>0</v>
      </c>
      <c r="EF742" s="1487"/>
      <c r="EG742" s="1487"/>
      <c r="EH742" s="1487"/>
      <c r="EI742" s="1487"/>
      <c r="EJ742" s="1487">
        <f t="shared" si="27"/>
        <v>0</v>
      </c>
      <c r="EK742" s="1487"/>
      <c r="EL742" s="1487"/>
      <c r="EM742" s="1487"/>
      <c r="EN742" s="1487"/>
      <c r="EO742" s="1487">
        <f t="shared" si="28"/>
        <v>0</v>
      </c>
      <c r="EP742" s="1487"/>
      <c r="EQ742" s="1487"/>
      <c r="ER742" s="1487"/>
      <c r="ES742" s="1487"/>
      <c r="ET742" s="1487">
        <f t="shared" si="29"/>
        <v>0</v>
      </c>
      <c r="EU742" s="1487"/>
      <c r="EV742" s="1487"/>
      <c r="EW742" s="1487"/>
      <c r="EX742" s="1487"/>
      <c r="EZ742" s="1490" t="str">
        <f t="shared" si="30"/>
        <v/>
      </c>
      <c r="FA742" s="1492"/>
      <c r="FB742" s="1492"/>
      <c r="FC742" s="1492"/>
      <c r="FD742" s="1491"/>
      <c r="FE742" s="1490" t="str">
        <f t="shared" si="31"/>
        <v/>
      </c>
      <c r="FF742" s="1492"/>
      <c r="FG742" s="1492"/>
      <c r="FH742" s="1492"/>
      <c r="FI742" s="1491"/>
      <c r="FJ742" s="1490" t="str">
        <f t="shared" si="32"/>
        <v/>
      </c>
      <c r="FK742" s="1492"/>
      <c r="FL742" s="1492"/>
      <c r="FM742" s="1492"/>
      <c r="FN742" s="1491"/>
      <c r="FO742" s="1490" t="str">
        <f t="shared" si="33"/>
        <v/>
      </c>
      <c r="FP742" s="1492"/>
      <c r="FQ742" s="1492"/>
      <c r="FR742" s="1492"/>
      <c r="FS742" s="1491"/>
      <c r="FT742" s="1490" t="str">
        <f t="shared" si="34"/>
        <v/>
      </c>
      <c r="FU742" s="1492"/>
      <c r="FV742" s="1492"/>
      <c r="FW742" s="1492"/>
      <c r="FX742" s="1491"/>
      <c r="FY742" s="1490" t="str">
        <f t="shared" si="35"/>
        <v/>
      </c>
      <c r="FZ742" s="1492"/>
      <c r="GA742" s="1492"/>
      <c r="GB742" s="1492"/>
      <c r="GC742" s="1491"/>
    </row>
    <row r="743" spans="1:185" s="3" customFormat="1" ht="12.95" customHeight="1">
      <c r="A743"/>
      <c r="B743" s="1350"/>
      <c r="C743" s="1351"/>
      <c r="D743" s="1351"/>
      <c r="E743" s="1351"/>
      <c r="F743" s="1352"/>
      <c r="G743" s="1354"/>
      <c r="H743" s="1355"/>
      <c r="I743" s="1355"/>
      <c r="J743" s="1356"/>
      <c r="K743" s="1344"/>
      <c r="L743" s="1345"/>
      <c r="M743" s="1345"/>
      <c r="N743" s="1346"/>
      <c r="O743" s="1341"/>
      <c r="P743" s="1342"/>
      <c r="Q743" s="1342"/>
      <c r="R743" s="1342"/>
      <c r="S743" s="1343"/>
      <c r="T743" s="1341"/>
      <c r="U743" s="1342"/>
      <c r="V743" s="1342"/>
      <c r="W743" s="1343"/>
      <c r="X743" s="1357">
        <f t="shared" si="39"/>
        <v>0</v>
      </c>
      <c r="Y743" s="1358"/>
      <c r="Z743" s="1358"/>
      <c r="AA743" s="1358"/>
      <c r="AB743" s="1359"/>
      <c r="AC743" s="1364"/>
      <c r="AD743" s="1365"/>
      <c r="AE743" s="1365"/>
      <c r="AF743" s="1365"/>
      <c r="AG743" s="1366"/>
      <c r="AH743" s="1360" t="str">
        <f t="shared" si="36"/>
        <v/>
      </c>
      <c r="AI743" s="1361"/>
      <c r="AJ743" s="1362"/>
      <c r="AK743" s="1350" t="s">
        <v>592</v>
      </c>
      <c r="AL743" s="1351"/>
      <c r="AM743" s="1351"/>
      <c r="AN743" s="1351"/>
      <c r="AO743" s="1352"/>
      <c r="AT743"/>
      <c r="AU743"/>
      <c r="AV743"/>
      <c r="AW743"/>
      <c r="AX743"/>
      <c r="AY743" s="1084"/>
      <c r="AZ743" s="118" t="str">
        <f t="shared" si="9"/>
        <v>N/A</v>
      </c>
      <c r="BD743"/>
      <c r="BE743"/>
      <c r="BF743" s="293">
        <f t="shared" si="10"/>
        <v>0</v>
      </c>
      <c r="BG743" s="296">
        <f t="shared" si="11"/>
        <v>0</v>
      </c>
      <c r="BH743" s="297" t="str">
        <f t="shared" si="12"/>
        <v/>
      </c>
      <c r="BI743"/>
      <c r="BJ743"/>
      <c r="BK743"/>
      <c r="BL743"/>
      <c r="BM743"/>
      <c r="BN743"/>
      <c r="BO743"/>
      <c r="BP743"/>
      <c r="BQ743"/>
      <c r="BR743"/>
      <c r="BS743" s="293">
        <f t="shared" si="13"/>
        <v>0</v>
      </c>
      <c r="BT743" s="296">
        <f t="shared" si="14"/>
        <v>0</v>
      </c>
      <c r="BU743" s="297" t="str">
        <f t="shared" si="15"/>
        <v/>
      </c>
      <c r="CD743"/>
      <c r="CG743" s="1490">
        <f t="shared" si="37"/>
        <v>0</v>
      </c>
      <c r="CH743" s="1491"/>
      <c r="CI743" s="1488">
        <f t="shared" si="38"/>
        <v>0</v>
      </c>
      <c r="CJ743" s="1489"/>
      <c r="CK743" s="1490">
        <f t="shared" si="16"/>
        <v>0</v>
      </c>
      <c r="CL743" s="1491"/>
      <c r="CM743" s="1488">
        <f t="shared" si="17"/>
        <v>0</v>
      </c>
      <c r="CN743" s="1489"/>
      <c r="CP743" s="1482">
        <f t="shared" si="18"/>
        <v>0</v>
      </c>
      <c r="CQ743" s="1483"/>
      <c r="CR743" s="1483"/>
      <c r="CS743" s="1483"/>
      <c r="CT743" s="1484"/>
      <c r="CU743" s="1486">
        <f t="shared" si="19"/>
        <v>0</v>
      </c>
      <c r="CV743" s="1486"/>
      <c r="CW743" s="1486"/>
      <c r="CX743" s="1486"/>
      <c r="CY743" s="1486"/>
      <c r="CZ743" s="1486">
        <f t="shared" si="20"/>
        <v>0</v>
      </c>
      <c r="DA743" s="1486"/>
      <c r="DB743" s="1486"/>
      <c r="DC743" s="1486"/>
      <c r="DD743" s="1486"/>
      <c r="DE743" s="1486">
        <f t="shared" si="21"/>
        <v>0</v>
      </c>
      <c r="DF743" s="1486"/>
      <c r="DG743" s="1486"/>
      <c r="DH743" s="1486"/>
      <c r="DI743" s="1486"/>
      <c r="DJ743" s="1486">
        <f t="shared" si="22"/>
        <v>0</v>
      </c>
      <c r="DK743" s="1486"/>
      <c r="DL743" s="1486"/>
      <c r="DM743" s="1486"/>
      <c r="DN743" s="1486"/>
      <c r="DO743" s="1486">
        <f t="shared" si="23"/>
        <v>0</v>
      </c>
      <c r="DP743" s="1486"/>
      <c r="DQ743" s="1486"/>
      <c r="DR743" s="1486"/>
      <c r="DS743" s="1486"/>
      <c r="DT743" s="6"/>
      <c r="DU743" s="1487">
        <f t="shared" si="24"/>
        <v>0</v>
      </c>
      <c r="DV743" s="1487"/>
      <c r="DW743" s="1487"/>
      <c r="DX743" s="1487"/>
      <c r="DY743" s="1487"/>
      <c r="DZ743" s="1487">
        <f t="shared" si="25"/>
        <v>0</v>
      </c>
      <c r="EA743" s="1487"/>
      <c r="EB743" s="1487"/>
      <c r="EC743" s="1487"/>
      <c r="ED743" s="1487"/>
      <c r="EE743" s="1487">
        <f t="shared" si="26"/>
        <v>0</v>
      </c>
      <c r="EF743" s="1487"/>
      <c r="EG743" s="1487"/>
      <c r="EH743" s="1487"/>
      <c r="EI743" s="1487"/>
      <c r="EJ743" s="1487">
        <f t="shared" si="27"/>
        <v>0</v>
      </c>
      <c r="EK743" s="1487"/>
      <c r="EL743" s="1487"/>
      <c r="EM743" s="1487"/>
      <c r="EN743" s="1487"/>
      <c r="EO743" s="1487">
        <f t="shared" si="28"/>
        <v>0</v>
      </c>
      <c r="EP743" s="1487"/>
      <c r="EQ743" s="1487"/>
      <c r="ER743" s="1487"/>
      <c r="ES743" s="1487"/>
      <c r="ET743" s="1487">
        <f t="shared" si="29"/>
        <v>0</v>
      </c>
      <c r="EU743" s="1487"/>
      <c r="EV743" s="1487"/>
      <c r="EW743" s="1487"/>
      <c r="EX743" s="1487"/>
      <c r="EY743"/>
      <c r="EZ743" s="1490" t="str">
        <f t="shared" si="30"/>
        <v/>
      </c>
      <c r="FA743" s="1492"/>
      <c r="FB743" s="1492"/>
      <c r="FC743" s="1492"/>
      <c r="FD743" s="1491"/>
      <c r="FE743" s="1490" t="str">
        <f t="shared" si="31"/>
        <v/>
      </c>
      <c r="FF743" s="1492"/>
      <c r="FG743" s="1492"/>
      <c r="FH743" s="1492"/>
      <c r="FI743" s="1491"/>
      <c r="FJ743" s="1490" t="str">
        <f t="shared" si="32"/>
        <v/>
      </c>
      <c r="FK743" s="1492"/>
      <c r="FL743" s="1492"/>
      <c r="FM743" s="1492"/>
      <c r="FN743" s="1491"/>
      <c r="FO743" s="1490" t="str">
        <f t="shared" si="33"/>
        <v/>
      </c>
      <c r="FP743" s="1492"/>
      <c r="FQ743" s="1492"/>
      <c r="FR743" s="1492"/>
      <c r="FS743" s="1491"/>
      <c r="FT743" s="1490" t="str">
        <f t="shared" si="34"/>
        <v/>
      </c>
      <c r="FU743" s="1492"/>
      <c r="FV743" s="1492"/>
      <c r="FW743" s="1492"/>
      <c r="FX743" s="1491"/>
      <c r="FY743" s="1490" t="str">
        <f t="shared" si="35"/>
        <v/>
      </c>
      <c r="FZ743" s="1492"/>
      <c r="GA743" s="1492"/>
      <c r="GB743" s="1492"/>
      <c r="GC743" s="1491"/>
    </row>
    <row r="744" spans="1:185" ht="12.95" customHeight="1">
      <c r="B744" s="1350"/>
      <c r="C744" s="1351"/>
      <c r="D744" s="1351"/>
      <c r="E744" s="1351"/>
      <c r="F744" s="1352"/>
      <c r="G744" s="1354"/>
      <c r="H744" s="1355"/>
      <c r="I744" s="1355"/>
      <c r="J744" s="1356"/>
      <c r="K744" s="1344"/>
      <c r="L744" s="1345"/>
      <c r="M744" s="1345"/>
      <c r="N744" s="1346"/>
      <c r="O744" s="1341"/>
      <c r="P744" s="1342"/>
      <c r="Q744" s="1342"/>
      <c r="R744" s="1342"/>
      <c r="S744" s="1343"/>
      <c r="T744" s="1341"/>
      <c r="U744" s="1342"/>
      <c r="V744" s="1342"/>
      <c r="W744" s="1343"/>
      <c r="X744" s="1357">
        <f t="shared" si="39"/>
        <v>0</v>
      </c>
      <c r="Y744" s="1358"/>
      <c r="Z744" s="1358"/>
      <c r="AA744" s="1358"/>
      <c r="AB744" s="1359"/>
      <c r="AC744" s="1364"/>
      <c r="AD744" s="1365"/>
      <c r="AE744" s="1365"/>
      <c r="AF744" s="1365"/>
      <c r="AG744" s="1366"/>
      <c r="AH744" s="1360" t="str">
        <f t="shared" si="36"/>
        <v/>
      </c>
      <c r="AI744" s="1361"/>
      <c r="AJ744" s="1362"/>
      <c r="AK744" s="1350" t="s">
        <v>592</v>
      </c>
      <c r="AL744" s="1351"/>
      <c r="AM744" s="1351"/>
      <c r="AN744" s="1351"/>
      <c r="AO744" s="1352"/>
      <c r="AP744" s="3"/>
      <c r="AQ744" s="3"/>
      <c r="AR744" s="3"/>
      <c r="AS744" s="3"/>
      <c r="AY744" s="1084"/>
      <c r="AZ744" s="118" t="str">
        <f t="shared" si="9"/>
        <v>N/A</v>
      </c>
      <c r="BA744" s="3"/>
      <c r="BB744" s="3"/>
      <c r="BC744" s="3"/>
      <c r="BD744" s="3"/>
      <c r="BE744" s="3"/>
      <c r="BF744" s="293">
        <f t="shared" si="10"/>
        <v>0</v>
      </c>
      <c r="BG744" s="296">
        <f t="shared" si="11"/>
        <v>0</v>
      </c>
      <c r="BH744" s="297" t="str">
        <f t="shared" si="12"/>
        <v/>
      </c>
      <c r="BI744" s="3"/>
      <c r="BJ744" s="3"/>
      <c r="BK744" s="3"/>
      <c r="BL744" s="3"/>
      <c r="BM744" s="3"/>
      <c r="BN744" s="3"/>
      <c r="BS744" s="293">
        <f t="shared" si="13"/>
        <v>0</v>
      </c>
      <c r="BT744" s="296">
        <f t="shared" si="14"/>
        <v>0</v>
      </c>
      <c r="BU744" s="297" t="str">
        <f t="shared" si="15"/>
        <v/>
      </c>
      <c r="BV744" s="3"/>
      <c r="BW744" s="3"/>
      <c r="BX744" s="3"/>
      <c r="BY744" s="3"/>
      <c r="BZ744" s="3"/>
      <c r="CA744" s="3"/>
      <c r="CB744" s="3"/>
      <c r="CC744" s="3"/>
      <c r="CE744" s="3"/>
      <c r="CF744" s="3"/>
      <c r="CG744" s="1490">
        <f t="shared" si="37"/>
        <v>0</v>
      </c>
      <c r="CH744" s="1491"/>
      <c r="CI744" s="1488">
        <f t="shared" si="38"/>
        <v>0</v>
      </c>
      <c r="CJ744" s="1489"/>
      <c r="CK744" s="1490">
        <f t="shared" si="16"/>
        <v>0</v>
      </c>
      <c r="CL744" s="1491"/>
      <c r="CM744" s="1488">
        <f t="shared" si="17"/>
        <v>0</v>
      </c>
      <c r="CN744" s="1489"/>
      <c r="CO744" s="3"/>
      <c r="CP744" s="1482">
        <f t="shared" si="18"/>
        <v>0</v>
      </c>
      <c r="CQ744" s="1483"/>
      <c r="CR744" s="1483"/>
      <c r="CS744" s="1483"/>
      <c r="CT744" s="1484"/>
      <c r="CU744" s="1486">
        <f t="shared" si="19"/>
        <v>0</v>
      </c>
      <c r="CV744" s="1486"/>
      <c r="CW744" s="1486"/>
      <c r="CX744" s="1486"/>
      <c r="CY744" s="1486"/>
      <c r="CZ744" s="1486">
        <f t="shared" si="20"/>
        <v>0</v>
      </c>
      <c r="DA744" s="1486"/>
      <c r="DB744" s="1486"/>
      <c r="DC744" s="1486"/>
      <c r="DD744" s="1486"/>
      <c r="DE744" s="1486">
        <f t="shared" si="21"/>
        <v>0</v>
      </c>
      <c r="DF744" s="1486"/>
      <c r="DG744" s="1486"/>
      <c r="DH744" s="1486"/>
      <c r="DI744" s="1486"/>
      <c r="DJ744" s="1486">
        <f t="shared" si="22"/>
        <v>0</v>
      </c>
      <c r="DK744" s="1486"/>
      <c r="DL744" s="1486"/>
      <c r="DM744" s="1486"/>
      <c r="DN744" s="1486"/>
      <c r="DO744" s="1486">
        <f t="shared" si="23"/>
        <v>0</v>
      </c>
      <c r="DP744" s="1486"/>
      <c r="DQ744" s="1486"/>
      <c r="DR744" s="1486"/>
      <c r="DS744" s="1486"/>
      <c r="DT744" s="6"/>
      <c r="DU744" s="1487">
        <f t="shared" si="24"/>
        <v>0</v>
      </c>
      <c r="DV744" s="1487"/>
      <c r="DW744" s="1487"/>
      <c r="DX744" s="1487"/>
      <c r="DY744" s="1487"/>
      <c r="DZ744" s="1487">
        <f t="shared" si="25"/>
        <v>0</v>
      </c>
      <c r="EA744" s="1487"/>
      <c r="EB744" s="1487"/>
      <c r="EC744" s="1487"/>
      <c r="ED744" s="1487"/>
      <c r="EE744" s="1487">
        <f t="shared" si="26"/>
        <v>0</v>
      </c>
      <c r="EF744" s="1487"/>
      <c r="EG744" s="1487"/>
      <c r="EH744" s="1487"/>
      <c r="EI744" s="1487"/>
      <c r="EJ744" s="1487">
        <f t="shared" si="27"/>
        <v>0</v>
      </c>
      <c r="EK744" s="1487"/>
      <c r="EL744" s="1487"/>
      <c r="EM744" s="1487"/>
      <c r="EN744" s="1487"/>
      <c r="EO744" s="1487">
        <f t="shared" si="28"/>
        <v>0</v>
      </c>
      <c r="EP744" s="1487"/>
      <c r="EQ744" s="1487"/>
      <c r="ER744" s="1487"/>
      <c r="ES744" s="1487"/>
      <c r="ET744" s="1487">
        <f t="shared" si="29"/>
        <v>0</v>
      </c>
      <c r="EU744" s="1487"/>
      <c r="EV744" s="1487"/>
      <c r="EW744" s="1487"/>
      <c r="EX744" s="1487"/>
      <c r="EZ744" s="1490" t="str">
        <f t="shared" si="30"/>
        <v/>
      </c>
      <c r="FA744" s="1492"/>
      <c r="FB744" s="1492"/>
      <c r="FC744" s="1492"/>
      <c r="FD744" s="1491"/>
      <c r="FE744" s="1490" t="str">
        <f t="shared" si="31"/>
        <v/>
      </c>
      <c r="FF744" s="1492"/>
      <c r="FG744" s="1492"/>
      <c r="FH744" s="1492"/>
      <c r="FI744" s="1491"/>
      <c r="FJ744" s="1490" t="str">
        <f t="shared" si="32"/>
        <v/>
      </c>
      <c r="FK744" s="1492"/>
      <c r="FL744" s="1492"/>
      <c r="FM744" s="1492"/>
      <c r="FN744" s="1491"/>
      <c r="FO744" s="1490" t="str">
        <f t="shared" si="33"/>
        <v/>
      </c>
      <c r="FP744" s="1492"/>
      <c r="FQ744" s="1492"/>
      <c r="FR744" s="1492"/>
      <c r="FS744" s="1491"/>
      <c r="FT744" s="1490" t="str">
        <f t="shared" si="34"/>
        <v/>
      </c>
      <c r="FU744" s="1492"/>
      <c r="FV744" s="1492"/>
      <c r="FW744" s="1492"/>
      <c r="FX744" s="1491"/>
      <c r="FY744" s="1490" t="str">
        <f t="shared" si="35"/>
        <v/>
      </c>
      <c r="FZ744" s="1492"/>
      <c r="GA744" s="1492"/>
      <c r="GB744" s="1492"/>
      <c r="GC744" s="1491"/>
    </row>
    <row r="745" spans="1:185" ht="12.95" customHeight="1">
      <c r="B745" s="1350"/>
      <c r="C745" s="1351"/>
      <c r="D745" s="1351"/>
      <c r="E745" s="1351"/>
      <c r="F745" s="1352"/>
      <c r="G745" s="1354"/>
      <c r="H745" s="1355"/>
      <c r="I745" s="1355"/>
      <c r="J745" s="1356"/>
      <c r="K745" s="1344"/>
      <c r="L745" s="1345"/>
      <c r="M745" s="1345"/>
      <c r="N745" s="1346"/>
      <c r="O745" s="1341"/>
      <c r="P745" s="1342"/>
      <c r="Q745" s="1342"/>
      <c r="R745" s="1342"/>
      <c r="S745" s="1343"/>
      <c r="T745" s="1341"/>
      <c r="U745" s="1342"/>
      <c r="V745" s="1342"/>
      <c r="W745" s="1343"/>
      <c r="X745" s="1357">
        <f t="shared" si="39"/>
        <v>0</v>
      </c>
      <c r="Y745" s="1358"/>
      <c r="Z745" s="1358"/>
      <c r="AA745" s="1358"/>
      <c r="AB745" s="1359"/>
      <c r="AC745" s="1364"/>
      <c r="AD745" s="1365"/>
      <c r="AE745" s="1365"/>
      <c r="AF745" s="1365"/>
      <c r="AG745" s="1366"/>
      <c r="AH745" s="1360" t="str">
        <f t="shared" si="36"/>
        <v/>
      </c>
      <c r="AI745" s="1361"/>
      <c r="AJ745" s="1362"/>
      <c r="AK745" s="1350" t="s">
        <v>592</v>
      </c>
      <c r="AL745" s="1351"/>
      <c r="AM745" s="1351"/>
      <c r="AN745" s="1351"/>
      <c r="AO745" s="1352"/>
      <c r="AP745" s="3"/>
      <c r="AQ745" s="3"/>
      <c r="AR745" s="3"/>
      <c r="AS745" s="3"/>
      <c r="AY745" s="1084"/>
      <c r="AZ745" s="118" t="str">
        <f t="shared" si="9"/>
        <v>N/A</v>
      </c>
      <c r="BA745" s="3"/>
      <c r="BB745" s="3"/>
      <c r="BC745" s="3"/>
      <c r="BD745" s="3"/>
      <c r="BE745" s="3"/>
      <c r="BF745" s="293">
        <f t="shared" si="10"/>
        <v>0</v>
      </c>
      <c r="BG745" s="296">
        <f t="shared" si="11"/>
        <v>0</v>
      </c>
      <c r="BH745" s="297" t="str">
        <f t="shared" si="12"/>
        <v/>
      </c>
      <c r="BI745" s="3"/>
      <c r="BJ745" s="3"/>
      <c r="BK745" s="3"/>
      <c r="BL745" s="3"/>
      <c r="BM745" s="3"/>
      <c r="BN745" s="3"/>
      <c r="BS745" s="293">
        <f t="shared" si="13"/>
        <v>0</v>
      </c>
      <c r="BT745" s="296">
        <f t="shared" si="14"/>
        <v>0</v>
      </c>
      <c r="BU745" s="297" t="str">
        <f t="shared" si="15"/>
        <v/>
      </c>
      <c r="BV745" s="3"/>
      <c r="BW745" s="3"/>
      <c r="BX745" s="3"/>
      <c r="BY745" s="3"/>
      <c r="BZ745" s="3"/>
      <c r="CA745" s="3"/>
      <c r="CB745" s="3"/>
      <c r="CC745" s="3"/>
      <c r="CE745" s="3"/>
      <c r="CF745" s="3"/>
      <c r="CG745" s="1490">
        <f t="shared" si="37"/>
        <v>0</v>
      </c>
      <c r="CH745" s="1491"/>
      <c r="CI745" s="1488">
        <f t="shared" si="38"/>
        <v>0</v>
      </c>
      <c r="CJ745" s="1489"/>
      <c r="CK745" s="1490">
        <f t="shared" si="16"/>
        <v>0</v>
      </c>
      <c r="CL745" s="1491"/>
      <c r="CM745" s="1488">
        <f t="shared" si="17"/>
        <v>0</v>
      </c>
      <c r="CN745" s="1489"/>
      <c r="CO745" s="3"/>
      <c r="CP745" s="1482">
        <f t="shared" si="18"/>
        <v>0</v>
      </c>
      <c r="CQ745" s="1483"/>
      <c r="CR745" s="1483"/>
      <c r="CS745" s="1483"/>
      <c r="CT745" s="1484"/>
      <c r="CU745" s="1486">
        <f t="shared" si="19"/>
        <v>0</v>
      </c>
      <c r="CV745" s="1486"/>
      <c r="CW745" s="1486"/>
      <c r="CX745" s="1486"/>
      <c r="CY745" s="1486"/>
      <c r="CZ745" s="1486">
        <f t="shared" si="20"/>
        <v>0</v>
      </c>
      <c r="DA745" s="1486"/>
      <c r="DB745" s="1486"/>
      <c r="DC745" s="1486"/>
      <c r="DD745" s="1486"/>
      <c r="DE745" s="1486">
        <f t="shared" si="21"/>
        <v>0</v>
      </c>
      <c r="DF745" s="1486"/>
      <c r="DG745" s="1486"/>
      <c r="DH745" s="1486"/>
      <c r="DI745" s="1486"/>
      <c r="DJ745" s="1486">
        <f t="shared" si="22"/>
        <v>0</v>
      </c>
      <c r="DK745" s="1486"/>
      <c r="DL745" s="1486"/>
      <c r="DM745" s="1486"/>
      <c r="DN745" s="1486"/>
      <c r="DO745" s="1486">
        <f t="shared" si="23"/>
        <v>0</v>
      </c>
      <c r="DP745" s="1486"/>
      <c r="DQ745" s="1486"/>
      <c r="DR745" s="1486"/>
      <c r="DS745" s="1486"/>
      <c r="DT745" s="6"/>
      <c r="DU745" s="1487">
        <f t="shared" si="24"/>
        <v>0</v>
      </c>
      <c r="DV745" s="1487"/>
      <c r="DW745" s="1487"/>
      <c r="DX745" s="1487"/>
      <c r="DY745" s="1487"/>
      <c r="DZ745" s="1487">
        <f t="shared" si="25"/>
        <v>0</v>
      </c>
      <c r="EA745" s="1487"/>
      <c r="EB745" s="1487"/>
      <c r="EC745" s="1487"/>
      <c r="ED745" s="1487"/>
      <c r="EE745" s="1487">
        <f t="shared" si="26"/>
        <v>0</v>
      </c>
      <c r="EF745" s="1487"/>
      <c r="EG745" s="1487"/>
      <c r="EH745" s="1487"/>
      <c r="EI745" s="1487"/>
      <c r="EJ745" s="1487">
        <f t="shared" si="27"/>
        <v>0</v>
      </c>
      <c r="EK745" s="1487"/>
      <c r="EL745" s="1487"/>
      <c r="EM745" s="1487"/>
      <c r="EN745" s="1487"/>
      <c r="EO745" s="1487">
        <f t="shared" si="28"/>
        <v>0</v>
      </c>
      <c r="EP745" s="1487"/>
      <c r="EQ745" s="1487"/>
      <c r="ER745" s="1487"/>
      <c r="ES745" s="1487"/>
      <c r="ET745" s="1487">
        <f t="shared" si="29"/>
        <v>0</v>
      </c>
      <c r="EU745" s="1487"/>
      <c r="EV745" s="1487"/>
      <c r="EW745" s="1487"/>
      <c r="EX745" s="1487"/>
      <c r="EZ745" s="1490" t="str">
        <f t="shared" si="30"/>
        <v/>
      </c>
      <c r="FA745" s="1492"/>
      <c r="FB745" s="1492"/>
      <c r="FC745" s="1492"/>
      <c r="FD745" s="1491"/>
      <c r="FE745" s="1490" t="str">
        <f t="shared" si="31"/>
        <v/>
      </c>
      <c r="FF745" s="1492"/>
      <c r="FG745" s="1492"/>
      <c r="FH745" s="1492"/>
      <c r="FI745" s="1491"/>
      <c r="FJ745" s="1490" t="str">
        <f t="shared" si="32"/>
        <v/>
      </c>
      <c r="FK745" s="1492"/>
      <c r="FL745" s="1492"/>
      <c r="FM745" s="1492"/>
      <c r="FN745" s="1491"/>
      <c r="FO745" s="1490" t="str">
        <f t="shared" si="33"/>
        <v/>
      </c>
      <c r="FP745" s="1492"/>
      <c r="FQ745" s="1492"/>
      <c r="FR745" s="1492"/>
      <c r="FS745" s="1491"/>
      <c r="FT745" s="1490" t="str">
        <f t="shared" si="34"/>
        <v/>
      </c>
      <c r="FU745" s="1492"/>
      <c r="FV745" s="1492"/>
      <c r="FW745" s="1492"/>
      <c r="FX745" s="1491"/>
      <c r="FY745" s="1490" t="str">
        <f t="shared" si="35"/>
        <v/>
      </c>
      <c r="FZ745" s="1492"/>
      <c r="GA745" s="1492"/>
      <c r="GB745" s="1492"/>
      <c r="GC745" s="1491"/>
    </row>
    <row r="746" spans="1:185" ht="12.95" customHeight="1">
      <c r="B746" s="1350"/>
      <c r="C746" s="1351"/>
      <c r="D746" s="1351"/>
      <c r="E746" s="1351"/>
      <c r="F746" s="1352"/>
      <c r="G746" s="1354"/>
      <c r="H746" s="1355"/>
      <c r="I746" s="1355"/>
      <c r="J746" s="1356"/>
      <c r="K746" s="1344"/>
      <c r="L746" s="1345"/>
      <c r="M746" s="1345"/>
      <c r="N746" s="1346"/>
      <c r="O746" s="1341"/>
      <c r="P746" s="1342"/>
      <c r="Q746" s="1342"/>
      <c r="R746" s="1342"/>
      <c r="S746" s="1343"/>
      <c r="T746" s="1341"/>
      <c r="U746" s="1342"/>
      <c r="V746" s="1342"/>
      <c r="W746" s="1343"/>
      <c r="X746" s="1357">
        <f t="shared" si="39"/>
        <v>0</v>
      </c>
      <c r="Y746" s="1358"/>
      <c r="Z746" s="1358"/>
      <c r="AA746" s="1358"/>
      <c r="AB746" s="1359"/>
      <c r="AC746" s="1364"/>
      <c r="AD746" s="1365"/>
      <c r="AE746" s="1365"/>
      <c r="AF746" s="1365"/>
      <c r="AG746" s="1366"/>
      <c r="AH746" s="1360" t="str">
        <f t="shared" si="36"/>
        <v/>
      </c>
      <c r="AI746" s="1361"/>
      <c r="AJ746" s="1362"/>
      <c r="AK746" s="1350" t="s">
        <v>592</v>
      </c>
      <c r="AL746" s="1351"/>
      <c r="AM746" s="1351"/>
      <c r="AN746" s="1351"/>
      <c r="AO746" s="1352"/>
      <c r="AP746" s="3"/>
      <c r="AQ746" s="3"/>
      <c r="AR746" s="3"/>
      <c r="AS746" s="3"/>
      <c r="AY746" s="1084"/>
      <c r="AZ746" s="118" t="str">
        <f t="shared" si="9"/>
        <v>N/A</v>
      </c>
      <c r="BA746" s="34"/>
      <c r="BB746" s="34"/>
      <c r="BC746" s="34"/>
      <c r="BD746" s="34"/>
      <c r="BE746" s="34"/>
      <c r="BF746" s="293">
        <f t="shared" si="10"/>
        <v>0</v>
      </c>
      <c r="BG746" s="296">
        <f t="shared" si="11"/>
        <v>0</v>
      </c>
      <c r="BH746" s="297" t="str">
        <f t="shared" si="12"/>
        <v/>
      </c>
      <c r="BI746" s="34"/>
      <c r="BJ746" s="34"/>
      <c r="BK746" s="34"/>
      <c r="BL746" s="34"/>
      <c r="BM746" s="34"/>
      <c r="BN746" s="34"/>
      <c r="BS746" s="293">
        <f t="shared" si="13"/>
        <v>0</v>
      </c>
      <c r="BT746" s="296">
        <f t="shared" si="14"/>
        <v>0</v>
      </c>
      <c r="BU746" s="297" t="str">
        <f t="shared" si="15"/>
        <v/>
      </c>
      <c r="BV746" s="3"/>
      <c r="BW746" s="3"/>
      <c r="BX746" s="3"/>
      <c r="BY746" s="3"/>
      <c r="BZ746" s="3"/>
      <c r="CA746" s="3"/>
      <c r="CB746" s="3"/>
      <c r="CC746" s="3"/>
      <c r="CE746" s="3"/>
      <c r="CF746" s="3"/>
      <c r="CG746" s="1490">
        <f t="shared" si="37"/>
        <v>0</v>
      </c>
      <c r="CH746" s="1491"/>
      <c r="CI746" s="1488">
        <f t="shared" si="38"/>
        <v>0</v>
      </c>
      <c r="CJ746" s="1489"/>
      <c r="CK746" s="1490">
        <f t="shared" si="16"/>
        <v>0</v>
      </c>
      <c r="CL746" s="1491"/>
      <c r="CM746" s="1488">
        <f t="shared" si="17"/>
        <v>0</v>
      </c>
      <c r="CN746" s="1489"/>
      <c r="CO746" s="3"/>
      <c r="CP746" s="1482">
        <f t="shared" si="18"/>
        <v>0</v>
      </c>
      <c r="CQ746" s="1483"/>
      <c r="CR746" s="1483"/>
      <c r="CS746" s="1483"/>
      <c r="CT746" s="1484"/>
      <c r="CU746" s="1486">
        <f t="shared" si="19"/>
        <v>0</v>
      </c>
      <c r="CV746" s="1486"/>
      <c r="CW746" s="1486"/>
      <c r="CX746" s="1486"/>
      <c r="CY746" s="1486"/>
      <c r="CZ746" s="1486">
        <f t="shared" si="20"/>
        <v>0</v>
      </c>
      <c r="DA746" s="1486"/>
      <c r="DB746" s="1486"/>
      <c r="DC746" s="1486"/>
      <c r="DD746" s="1486"/>
      <c r="DE746" s="1486">
        <f t="shared" si="21"/>
        <v>0</v>
      </c>
      <c r="DF746" s="1486"/>
      <c r="DG746" s="1486"/>
      <c r="DH746" s="1486"/>
      <c r="DI746" s="1486"/>
      <c r="DJ746" s="1486">
        <f t="shared" si="22"/>
        <v>0</v>
      </c>
      <c r="DK746" s="1486"/>
      <c r="DL746" s="1486"/>
      <c r="DM746" s="1486"/>
      <c r="DN746" s="1486"/>
      <c r="DO746" s="1486">
        <f t="shared" si="23"/>
        <v>0</v>
      </c>
      <c r="DP746" s="1486"/>
      <c r="DQ746" s="1486"/>
      <c r="DR746" s="1486"/>
      <c r="DS746" s="1486"/>
      <c r="DT746" s="6"/>
      <c r="DU746" s="1487">
        <f t="shared" si="24"/>
        <v>0</v>
      </c>
      <c r="DV746" s="1487"/>
      <c r="DW746" s="1487"/>
      <c r="DX746" s="1487"/>
      <c r="DY746" s="1487"/>
      <c r="DZ746" s="1487">
        <f t="shared" si="25"/>
        <v>0</v>
      </c>
      <c r="EA746" s="1487"/>
      <c r="EB746" s="1487"/>
      <c r="EC746" s="1487"/>
      <c r="ED746" s="1487"/>
      <c r="EE746" s="1487">
        <f t="shared" si="26"/>
        <v>0</v>
      </c>
      <c r="EF746" s="1487"/>
      <c r="EG746" s="1487"/>
      <c r="EH746" s="1487"/>
      <c r="EI746" s="1487"/>
      <c r="EJ746" s="1487">
        <f t="shared" si="27"/>
        <v>0</v>
      </c>
      <c r="EK746" s="1487"/>
      <c r="EL746" s="1487"/>
      <c r="EM746" s="1487"/>
      <c r="EN746" s="1487"/>
      <c r="EO746" s="1487">
        <f t="shared" si="28"/>
        <v>0</v>
      </c>
      <c r="EP746" s="1487"/>
      <c r="EQ746" s="1487"/>
      <c r="ER746" s="1487"/>
      <c r="ES746" s="1487"/>
      <c r="ET746" s="1487">
        <f t="shared" si="29"/>
        <v>0</v>
      </c>
      <c r="EU746" s="1487"/>
      <c r="EV746" s="1487"/>
      <c r="EW746" s="1487"/>
      <c r="EX746" s="1487"/>
      <c r="EZ746" s="1490" t="str">
        <f t="shared" si="30"/>
        <v/>
      </c>
      <c r="FA746" s="1492"/>
      <c r="FB746" s="1492"/>
      <c r="FC746" s="1492"/>
      <c r="FD746" s="1491"/>
      <c r="FE746" s="1490" t="str">
        <f t="shared" si="31"/>
        <v/>
      </c>
      <c r="FF746" s="1492"/>
      <c r="FG746" s="1492"/>
      <c r="FH746" s="1492"/>
      <c r="FI746" s="1491"/>
      <c r="FJ746" s="1490" t="str">
        <f t="shared" si="32"/>
        <v/>
      </c>
      <c r="FK746" s="1492"/>
      <c r="FL746" s="1492"/>
      <c r="FM746" s="1492"/>
      <c r="FN746" s="1491"/>
      <c r="FO746" s="1490" t="str">
        <f t="shared" si="33"/>
        <v/>
      </c>
      <c r="FP746" s="1492"/>
      <c r="FQ746" s="1492"/>
      <c r="FR746" s="1492"/>
      <c r="FS746" s="1491"/>
      <c r="FT746" s="1490" t="str">
        <f t="shared" si="34"/>
        <v/>
      </c>
      <c r="FU746" s="1492"/>
      <c r="FV746" s="1492"/>
      <c r="FW746" s="1492"/>
      <c r="FX746" s="1491"/>
      <c r="FY746" s="1490" t="str">
        <f t="shared" si="35"/>
        <v/>
      </c>
      <c r="FZ746" s="1492"/>
      <c r="GA746" s="1492"/>
      <c r="GB746" s="1492"/>
      <c r="GC746" s="1491"/>
    </row>
    <row r="747" spans="1:185" ht="12.95" customHeight="1">
      <c r="B747" s="1350"/>
      <c r="C747" s="1351"/>
      <c r="D747" s="1351"/>
      <c r="E747" s="1351"/>
      <c r="F747" s="1352"/>
      <c r="G747" s="1354"/>
      <c r="H747" s="1355"/>
      <c r="I747" s="1355"/>
      <c r="J747" s="1356"/>
      <c r="K747" s="1344"/>
      <c r="L747" s="1345"/>
      <c r="M747" s="1345"/>
      <c r="N747" s="1346"/>
      <c r="O747" s="1341"/>
      <c r="P747" s="1342"/>
      <c r="Q747" s="1342"/>
      <c r="R747" s="1342"/>
      <c r="S747" s="1343"/>
      <c r="T747" s="1341"/>
      <c r="U747" s="1342"/>
      <c r="V747" s="1342"/>
      <c r="W747" s="1343"/>
      <c r="X747" s="1357">
        <f t="shared" si="39"/>
        <v>0</v>
      </c>
      <c r="Y747" s="1358"/>
      <c r="Z747" s="1358"/>
      <c r="AA747" s="1358"/>
      <c r="AB747" s="1359"/>
      <c r="AC747" s="1364"/>
      <c r="AD747" s="1365"/>
      <c r="AE747" s="1365"/>
      <c r="AF747" s="1365"/>
      <c r="AG747" s="1366"/>
      <c r="AH747" s="1360" t="str">
        <f t="shared" si="36"/>
        <v/>
      </c>
      <c r="AI747" s="1361"/>
      <c r="AJ747" s="1362"/>
      <c r="AK747" s="1350" t="s">
        <v>592</v>
      </c>
      <c r="AL747" s="1351"/>
      <c r="AM747" s="1351"/>
      <c r="AN747" s="1351"/>
      <c r="AO747" s="1352"/>
      <c r="AP747" s="3"/>
      <c r="AQ747" s="3"/>
      <c r="AR747" s="3"/>
      <c r="AS747" s="3"/>
      <c r="AY747" s="1084"/>
      <c r="AZ747" s="118" t="str">
        <f t="shared" si="9"/>
        <v>N/A</v>
      </c>
      <c r="BA747" s="34"/>
      <c r="BB747" s="34"/>
      <c r="BC747" s="34"/>
      <c r="BD747" s="34"/>
      <c r="BE747" s="34"/>
      <c r="BF747" s="293">
        <f t="shared" si="10"/>
        <v>0</v>
      </c>
      <c r="BG747" s="296">
        <f t="shared" si="11"/>
        <v>0</v>
      </c>
      <c r="BH747" s="297" t="str">
        <f t="shared" si="12"/>
        <v/>
      </c>
      <c r="BI747" s="34"/>
      <c r="BJ747" s="34"/>
      <c r="BK747" s="34"/>
      <c r="BL747" s="34"/>
      <c r="BM747" s="34"/>
      <c r="BN747" s="34"/>
      <c r="BS747" s="293">
        <f t="shared" si="13"/>
        <v>0</v>
      </c>
      <c r="BT747" s="296">
        <f t="shared" si="14"/>
        <v>0</v>
      </c>
      <c r="BU747" s="297" t="str">
        <f t="shared" si="15"/>
        <v/>
      </c>
      <c r="BV747" s="3"/>
      <c r="BW747" s="3"/>
      <c r="BX747" s="3"/>
      <c r="BY747" s="3"/>
      <c r="BZ747" s="3"/>
      <c r="CA747" s="3"/>
      <c r="CB747" s="3"/>
      <c r="CC747" s="3"/>
      <c r="CE747" s="3"/>
      <c r="CF747" s="3"/>
      <c r="CG747" s="1490">
        <f t="shared" si="37"/>
        <v>0</v>
      </c>
      <c r="CH747" s="1491"/>
      <c r="CI747" s="1488">
        <f t="shared" si="38"/>
        <v>0</v>
      </c>
      <c r="CJ747" s="1489"/>
      <c r="CK747" s="1490">
        <f t="shared" si="16"/>
        <v>0</v>
      </c>
      <c r="CL747" s="1491"/>
      <c r="CM747" s="1488">
        <f t="shared" si="17"/>
        <v>0</v>
      </c>
      <c r="CN747" s="1489"/>
      <c r="CO747" s="3"/>
      <c r="CP747" s="1482">
        <f t="shared" si="18"/>
        <v>0</v>
      </c>
      <c r="CQ747" s="1483"/>
      <c r="CR747" s="1483"/>
      <c r="CS747" s="1483"/>
      <c r="CT747" s="1484"/>
      <c r="CU747" s="1486">
        <f t="shared" si="19"/>
        <v>0</v>
      </c>
      <c r="CV747" s="1486"/>
      <c r="CW747" s="1486"/>
      <c r="CX747" s="1486"/>
      <c r="CY747" s="1486"/>
      <c r="CZ747" s="1486">
        <f t="shared" si="20"/>
        <v>0</v>
      </c>
      <c r="DA747" s="1486"/>
      <c r="DB747" s="1486"/>
      <c r="DC747" s="1486"/>
      <c r="DD747" s="1486"/>
      <c r="DE747" s="1486">
        <f t="shared" si="21"/>
        <v>0</v>
      </c>
      <c r="DF747" s="1486"/>
      <c r="DG747" s="1486"/>
      <c r="DH747" s="1486"/>
      <c r="DI747" s="1486"/>
      <c r="DJ747" s="1486">
        <f t="shared" si="22"/>
        <v>0</v>
      </c>
      <c r="DK747" s="1486"/>
      <c r="DL747" s="1486"/>
      <c r="DM747" s="1486"/>
      <c r="DN747" s="1486"/>
      <c r="DO747" s="1486">
        <f t="shared" si="23"/>
        <v>0</v>
      </c>
      <c r="DP747" s="1486"/>
      <c r="DQ747" s="1486"/>
      <c r="DR747" s="1486"/>
      <c r="DS747" s="1486"/>
      <c r="DT747" s="6"/>
      <c r="DU747" s="1487">
        <f t="shared" si="24"/>
        <v>0</v>
      </c>
      <c r="DV747" s="1487"/>
      <c r="DW747" s="1487"/>
      <c r="DX747" s="1487"/>
      <c r="DY747" s="1487"/>
      <c r="DZ747" s="1487">
        <f t="shared" si="25"/>
        <v>0</v>
      </c>
      <c r="EA747" s="1487"/>
      <c r="EB747" s="1487"/>
      <c r="EC747" s="1487"/>
      <c r="ED747" s="1487"/>
      <c r="EE747" s="1487">
        <f t="shared" si="26"/>
        <v>0</v>
      </c>
      <c r="EF747" s="1487"/>
      <c r="EG747" s="1487"/>
      <c r="EH747" s="1487"/>
      <c r="EI747" s="1487"/>
      <c r="EJ747" s="1487">
        <f t="shared" si="27"/>
        <v>0</v>
      </c>
      <c r="EK747" s="1487"/>
      <c r="EL747" s="1487"/>
      <c r="EM747" s="1487"/>
      <c r="EN747" s="1487"/>
      <c r="EO747" s="1487">
        <f t="shared" si="28"/>
        <v>0</v>
      </c>
      <c r="EP747" s="1487"/>
      <c r="EQ747" s="1487"/>
      <c r="ER747" s="1487"/>
      <c r="ES747" s="1487"/>
      <c r="ET747" s="1487">
        <f t="shared" si="29"/>
        <v>0</v>
      </c>
      <c r="EU747" s="1487"/>
      <c r="EV747" s="1487"/>
      <c r="EW747" s="1487"/>
      <c r="EX747" s="1487"/>
      <c r="EZ747" s="1490" t="str">
        <f t="shared" si="30"/>
        <v/>
      </c>
      <c r="FA747" s="1492"/>
      <c r="FB747" s="1492"/>
      <c r="FC747" s="1492"/>
      <c r="FD747" s="1491"/>
      <c r="FE747" s="1490" t="str">
        <f t="shared" si="31"/>
        <v/>
      </c>
      <c r="FF747" s="1492"/>
      <c r="FG747" s="1492"/>
      <c r="FH747" s="1492"/>
      <c r="FI747" s="1491"/>
      <c r="FJ747" s="1490" t="str">
        <f t="shared" si="32"/>
        <v/>
      </c>
      <c r="FK747" s="1492"/>
      <c r="FL747" s="1492"/>
      <c r="FM747" s="1492"/>
      <c r="FN747" s="1491"/>
      <c r="FO747" s="1490" t="str">
        <f t="shared" si="33"/>
        <v/>
      </c>
      <c r="FP747" s="1492"/>
      <c r="FQ747" s="1492"/>
      <c r="FR747" s="1492"/>
      <c r="FS747" s="1491"/>
      <c r="FT747" s="1490" t="str">
        <f t="shared" si="34"/>
        <v/>
      </c>
      <c r="FU747" s="1492"/>
      <c r="FV747" s="1492"/>
      <c r="FW747" s="1492"/>
      <c r="FX747" s="1491"/>
      <c r="FY747" s="1490" t="str">
        <f t="shared" si="35"/>
        <v/>
      </c>
      <c r="FZ747" s="1492"/>
      <c r="GA747" s="1492"/>
      <c r="GB747" s="1492"/>
      <c r="GC747" s="1491"/>
    </row>
    <row r="748" spans="1:185" s="3" customFormat="1" ht="12.95" customHeight="1">
      <c r="A748"/>
      <c r="B748" s="1350"/>
      <c r="C748" s="1351"/>
      <c r="D748" s="1351"/>
      <c r="E748" s="1351"/>
      <c r="F748" s="1352"/>
      <c r="G748" s="1354"/>
      <c r="H748" s="1355"/>
      <c r="I748" s="1355"/>
      <c r="J748" s="1356"/>
      <c r="K748" s="1344"/>
      <c r="L748" s="1345"/>
      <c r="M748" s="1345"/>
      <c r="N748" s="1346"/>
      <c r="O748" s="1341"/>
      <c r="P748" s="1342"/>
      <c r="Q748" s="1342"/>
      <c r="R748" s="1342"/>
      <c r="S748" s="1343"/>
      <c r="T748" s="1341"/>
      <c r="U748" s="1342"/>
      <c r="V748" s="1342"/>
      <c r="W748" s="1343"/>
      <c r="X748" s="1357">
        <f t="shared" si="39"/>
        <v>0</v>
      </c>
      <c r="Y748" s="1358"/>
      <c r="Z748" s="1358"/>
      <c r="AA748" s="1358"/>
      <c r="AB748" s="1359"/>
      <c r="AC748" s="1364"/>
      <c r="AD748" s="1365"/>
      <c r="AE748" s="1365"/>
      <c r="AF748" s="1365"/>
      <c r="AG748" s="1366"/>
      <c r="AH748" s="1360" t="str">
        <f t="shared" si="36"/>
        <v/>
      </c>
      <c r="AI748" s="1361"/>
      <c r="AJ748" s="1362"/>
      <c r="AK748" s="1350" t="s">
        <v>592</v>
      </c>
      <c r="AL748" s="1351"/>
      <c r="AM748" s="1351"/>
      <c r="AN748" s="1351"/>
      <c r="AO748" s="1352"/>
      <c r="AT748"/>
      <c r="AU748"/>
      <c r="AV748"/>
      <c r="AW748"/>
      <c r="AX748"/>
      <c r="AY748" s="1084"/>
      <c r="AZ748" s="118" t="str">
        <f t="shared" si="9"/>
        <v>N/A</v>
      </c>
      <c r="BA748" s="34"/>
      <c r="BB748" s="34"/>
      <c r="BC748" s="34"/>
      <c r="BD748" s="34"/>
      <c r="BE748" s="34"/>
      <c r="BF748" s="293">
        <f t="shared" si="10"/>
        <v>0</v>
      </c>
      <c r="BG748" s="296">
        <f t="shared" si="11"/>
        <v>0</v>
      </c>
      <c r="BH748" s="297" t="str">
        <f t="shared" si="12"/>
        <v/>
      </c>
      <c r="BJ748" s="34"/>
      <c r="BK748" s="34"/>
      <c r="BL748" s="34"/>
      <c r="BM748" s="34"/>
      <c r="BN748" s="34"/>
      <c r="BO748"/>
      <c r="BP748"/>
      <c r="BQ748"/>
      <c r="BR748"/>
      <c r="BS748" s="293">
        <f t="shared" si="13"/>
        <v>0</v>
      </c>
      <c r="BT748" s="296">
        <f t="shared" si="14"/>
        <v>0</v>
      </c>
      <c r="BU748" s="297" t="str">
        <f t="shared" si="15"/>
        <v/>
      </c>
      <c r="CD748"/>
      <c r="CG748" s="1490">
        <f t="shared" si="37"/>
        <v>0</v>
      </c>
      <c r="CH748" s="1491"/>
      <c r="CI748" s="1488">
        <f t="shared" si="38"/>
        <v>0</v>
      </c>
      <c r="CJ748" s="1489"/>
      <c r="CK748" s="1490">
        <f t="shared" si="16"/>
        <v>0</v>
      </c>
      <c r="CL748" s="1491"/>
      <c r="CM748" s="1488">
        <f t="shared" si="17"/>
        <v>0</v>
      </c>
      <c r="CN748" s="1489"/>
      <c r="CP748" s="1482">
        <f t="shared" si="18"/>
        <v>0</v>
      </c>
      <c r="CQ748" s="1483"/>
      <c r="CR748" s="1483"/>
      <c r="CS748" s="1483"/>
      <c r="CT748" s="1484"/>
      <c r="CU748" s="1486">
        <f t="shared" si="19"/>
        <v>0</v>
      </c>
      <c r="CV748" s="1486"/>
      <c r="CW748" s="1486"/>
      <c r="CX748" s="1486"/>
      <c r="CY748" s="1486"/>
      <c r="CZ748" s="1486">
        <f t="shared" si="20"/>
        <v>0</v>
      </c>
      <c r="DA748" s="1486"/>
      <c r="DB748" s="1486"/>
      <c r="DC748" s="1486"/>
      <c r="DD748" s="1486"/>
      <c r="DE748" s="1486">
        <f t="shared" si="21"/>
        <v>0</v>
      </c>
      <c r="DF748" s="1486"/>
      <c r="DG748" s="1486"/>
      <c r="DH748" s="1486"/>
      <c r="DI748" s="1486"/>
      <c r="DJ748" s="1486">
        <f t="shared" si="22"/>
        <v>0</v>
      </c>
      <c r="DK748" s="1486"/>
      <c r="DL748" s="1486"/>
      <c r="DM748" s="1486"/>
      <c r="DN748" s="1486"/>
      <c r="DO748" s="1486">
        <f t="shared" si="23"/>
        <v>0</v>
      </c>
      <c r="DP748" s="1486"/>
      <c r="DQ748" s="1486"/>
      <c r="DR748" s="1486"/>
      <c r="DS748" s="1486"/>
      <c r="DT748" s="6"/>
      <c r="DU748" s="1487">
        <f t="shared" si="24"/>
        <v>0</v>
      </c>
      <c r="DV748" s="1487"/>
      <c r="DW748" s="1487"/>
      <c r="DX748" s="1487"/>
      <c r="DY748" s="1487"/>
      <c r="DZ748" s="1487">
        <f t="shared" si="25"/>
        <v>0</v>
      </c>
      <c r="EA748" s="1487"/>
      <c r="EB748" s="1487"/>
      <c r="EC748" s="1487"/>
      <c r="ED748" s="1487"/>
      <c r="EE748" s="1487">
        <f t="shared" si="26"/>
        <v>0</v>
      </c>
      <c r="EF748" s="1487"/>
      <c r="EG748" s="1487"/>
      <c r="EH748" s="1487"/>
      <c r="EI748" s="1487"/>
      <c r="EJ748" s="1487">
        <f t="shared" si="27"/>
        <v>0</v>
      </c>
      <c r="EK748" s="1487"/>
      <c r="EL748" s="1487"/>
      <c r="EM748" s="1487"/>
      <c r="EN748" s="1487"/>
      <c r="EO748" s="1487">
        <f t="shared" si="28"/>
        <v>0</v>
      </c>
      <c r="EP748" s="1487"/>
      <c r="EQ748" s="1487"/>
      <c r="ER748" s="1487"/>
      <c r="ES748" s="1487"/>
      <c r="ET748" s="1487">
        <f t="shared" si="29"/>
        <v>0</v>
      </c>
      <c r="EU748" s="1487"/>
      <c r="EV748" s="1487"/>
      <c r="EW748" s="1487"/>
      <c r="EX748" s="1487"/>
      <c r="EY748"/>
      <c r="EZ748" s="1490" t="str">
        <f t="shared" si="30"/>
        <v/>
      </c>
      <c r="FA748" s="1492"/>
      <c r="FB748" s="1492"/>
      <c r="FC748" s="1492"/>
      <c r="FD748" s="1491"/>
      <c r="FE748" s="1490" t="str">
        <f t="shared" si="31"/>
        <v/>
      </c>
      <c r="FF748" s="1492"/>
      <c r="FG748" s="1492"/>
      <c r="FH748" s="1492"/>
      <c r="FI748" s="1491"/>
      <c r="FJ748" s="1490" t="str">
        <f t="shared" si="32"/>
        <v/>
      </c>
      <c r="FK748" s="1492"/>
      <c r="FL748" s="1492"/>
      <c r="FM748" s="1492"/>
      <c r="FN748" s="1491"/>
      <c r="FO748" s="1490" t="str">
        <f t="shared" si="33"/>
        <v/>
      </c>
      <c r="FP748" s="1492"/>
      <c r="FQ748" s="1492"/>
      <c r="FR748" s="1492"/>
      <c r="FS748" s="1491"/>
      <c r="FT748" s="1490" t="str">
        <f t="shared" si="34"/>
        <v/>
      </c>
      <c r="FU748" s="1492"/>
      <c r="FV748" s="1492"/>
      <c r="FW748" s="1492"/>
      <c r="FX748" s="1491"/>
      <c r="FY748" s="1490" t="str">
        <f t="shared" si="35"/>
        <v/>
      </c>
      <c r="FZ748" s="1492"/>
      <c r="GA748" s="1492"/>
      <c r="GB748" s="1492"/>
      <c r="GC748" s="1491"/>
    </row>
    <row r="749" spans="1:185" s="3" customFormat="1" ht="12.95" customHeight="1">
      <c r="A749"/>
      <c r="B749" s="1350"/>
      <c r="C749" s="1351"/>
      <c r="D749" s="1351"/>
      <c r="E749" s="1351"/>
      <c r="F749" s="1352"/>
      <c r="G749" s="1354"/>
      <c r="H749" s="1355"/>
      <c r="I749" s="1355"/>
      <c r="J749" s="1356"/>
      <c r="K749" s="1344"/>
      <c r="L749" s="1345"/>
      <c r="M749" s="1345"/>
      <c r="N749" s="1346"/>
      <c r="O749" s="1341"/>
      <c r="P749" s="1342"/>
      <c r="Q749" s="1342"/>
      <c r="R749" s="1342"/>
      <c r="S749" s="1343"/>
      <c r="T749" s="1341"/>
      <c r="U749" s="1342"/>
      <c r="V749" s="1342"/>
      <c r="W749" s="1343"/>
      <c r="X749" s="1357">
        <f t="shared" si="39"/>
        <v>0</v>
      </c>
      <c r="Y749" s="1358"/>
      <c r="Z749" s="1358"/>
      <c r="AA749" s="1358"/>
      <c r="AB749" s="1359"/>
      <c r="AC749" s="1364"/>
      <c r="AD749" s="1365"/>
      <c r="AE749" s="1365"/>
      <c r="AF749" s="1365"/>
      <c r="AG749" s="1366"/>
      <c r="AH749" s="1360" t="str">
        <f t="shared" si="36"/>
        <v/>
      </c>
      <c r="AI749" s="1361"/>
      <c r="AJ749" s="1362"/>
      <c r="AK749" s="1350" t="s">
        <v>592</v>
      </c>
      <c r="AL749" s="1351"/>
      <c r="AM749" s="1351"/>
      <c r="AN749" s="1351"/>
      <c r="AO749" s="1352"/>
      <c r="AT749"/>
      <c r="AU749"/>
      <c r="AV749"/>
      <c r="AW749"/>
      <c r="AX749"/>
      <c r="AY749" s="1084"/>
      <c r="AZ749" s="118" t="str">
        <f t="shared" si="9"/>
        <v>N/A</v>
      </c>
      <c r="BA749" s="34"/>
      <c r="BB749" s="34"/>
      <c r="BC749" s="34"/>
      <c r="BD749" s="34"/>
      <c r="BE749" s="34"/>
      <c r="BF749" s="293">
        <f t="shared" si="10"/>
        <v>0</v>
      </c>
      <c r="BG749" s="296">
        <f t="shared" si="11"/>
        <v>0</v>
      </c>
      <c r="BH749" s="297" t="str">
        <f t="shared" si="12"/>
        <v/>
      </c>
      <c r="BJ749" s="34"/>
      <c r="BK749" s="34"/>
      <c r="BL749" s="34"/>
      <c r="BM749" s="34"/>
      <c r="BN749" s="34"/>
      <c r="BO749"/>
      <c r="BP749"/>
      <c r="BQ749"/>
      <c r="BR749"/>
      <c r="BS749" s="293">
        <f t="shared" si="13"/>
        <v>0</v>
      </c>
      <c r="BT749" s="296">
        <f t="shared" si="14"/>
        <v>0</v>
      </c>
      <c r="BU749" s="297" t="str">
        <f t="shared" si="15"/>
        <v/>
      </c>
      <c r="CD749"/>
      <c r="CG749" s="1490">
        <f t="shared" si="37"/>
        <v>0</v>
      </c>
      <c r="CH749" s="1491"/>
      <c r="CI749" s="1488">
        <f t="shared" si="38"/>
        <v>0</v>
      </c>
      <c r="CJ749" s="1489"/>
      <c r="CK749" s="1490">
        <f t="shared" si="16"/>
        <v>0</v>
      </c>
      <c r="CL749" s="1491"/>
      <c r="CM749" s="1488">
        <f t="shared" si="17"/>
        <v>0</v>
      </c>
      <c r="CN749" s="1489"/>
      <c r="CP749" s="1482">
        <f t="shared" si="18"/>
        <v>0</v>
      </c>
      <c r="CQ749" s="1483"/>
      <c r="CR749" s="1483"/>
      <c r="CS749" s="1483"/>
      <c r="CT749" s="1484"/>
      <c r="CU749" s="1486">
        <f t="shared" si="19"/>
        <v>0</v>
      </c>
      <c r="CV749" s="1486"/>
      <c r="CW749" s="1486"/>
      <c r="CX749" s="1486"/>
      <c r="CY749" s="1486"/>
      <c r="CZ749" s="1486">
        <f t="shared" si="20"/>
        <v>0</v>
      </c>
      <c r="DA749" s="1486"/>
      <c r="DB749" s="1486"/>
      <c r="DC749" s="1486"/>
      <c r="DD749" s="1486"/>
      <c r="DE749" s="1486">
        <f t="shared" si="21"/>
        <v>0</v>
      </c>
      <c r="DF749" s="1486"/>
      <c r="DG749" s="1486"/>
      <c r="DH749" s="1486"/>
      <c r="DI749" s="1486"/>
      <c r="DJ749" s="1486">
        <f t="shared" si="22"/>
        <v>0</v>
      </c>
      <c r="DK749" s="1486"/>
      <c r="DL749" s="1486"/>
      <c r="DM749" s="1486"/>
      <c r="DN749" s="1486"/>
      <c r="DO749" s="1486">
        <f t="shared" si="23"/>
        <v>0</v>
      </c>
      <c r="DP749" s="1486"/>
      <c r="DQ749" s="1486"/>
      <c r="DR749" s="1486"/>
      <c r="DS749" s="1486"/>
      <c r="DT749" s="6"/>
      <c r="DU749" s="1487">
        <f t="shared" si="24"/>
        <v>0</v>
      </c>
      <c r="DV749" s="1487"/>
      <c r="DW749" s="1487"/>
      <c r="DX749" s="1487"/>
      <c r="DY749" s="1487"/>
      <c r="DZ749" s="1487">
        <f t="shared" si="25"/>
        <v>0</v>
      </c>
      <c r="EA749" s="1487"/>
      <c r="EB749" s="1487"/>
      <c r="EC749" s="1487"/>
      <c r="ED749" s="1487"/>
      <c r="EE749" s="1487">
        <f t="shared" si="26"/>
        <v>0</v>
      </c>
      <c r="EF749" s="1487"/>
      <c r="EG749" s="1487"/>
      <c r="EH749" s="1487"/>
      <c r="EI749" s="1487"/>
      <c r="EJ749" s="1487">
        <f t="shared" si="27"/>
        <v>0</v>
      </c>
      <c r="EK749" s="1487"/>
      <c r="EL749" s="1487"/>
      <c r="EM749" s="1487"/>
      <c r="EN749" s="1487"/>
      <c r="EO749" s="1487">
        <f t="shared" si="28"/>
        <v>0</v>
      </c>
      <c r="EP749" s="1487"/>
      <c r="EQ749" s="1487"/>
      <c r="ER749" s="1487"/>
      <c r="ES749" s="1487"/>
      <c r="ET749" s="1487">
        <f t="shared" si="29"/>
        <v>0</v>
      </c>
      <c r="EU749" s="1487"/>
      <c r="EV749" s="1487"/>
      <c r="EW749" s="1487"/>
      <c r="EX749" s="1487"/>
      <c r="EY749"/>
      <c r="EZ749" s="1490" t="str">
        <f t="shared" si="30"/>
        <v/>
      </c>
      <c r="FA749" s="1492"/>
      <c r="FB749" s="1492"/>
      <c r="FC749" s="1492"/>
      <c r="FD749" s="1491"/>
      <c r="FE749" s="1490" t="str">
        <f t="shared" si="31"/>
        <v/>
      </c>
      <c r="FF749" s="1492"/>
      <c r="FG749" s="1492"/>
      <c r="FH749" s="1492"/>
      <c r="FI749" s="1491"/>
      <c r="FJ749" s="1490" t="str">
        <f t="shared" si="32"/>
        <v/>
      </c>
      <c r="FK749" s="1492"/>
      <c r="FL749" s="1492"/>
      <c r="FM749" s="1492"/>
      <c r="FN749" s="1491"/>
      <c r="FO749" s="1490" t="str">
        <f t="shared" si="33"/>
        <v/>
      </c>
      <c r="FP749" s="1492"/>
      <c r="FQ749" s="1492"/>
      <c r="FR749" s="1492"/>
      <c r="FS749" s="1491"/>
      <c r="FT749" s="1490" t="str">
        <f t="shared" si="34"/>
        <v/>
      </c>
      <c r="FU749" s="1492"/>
      <c r="FV749" s="1492"/>
      <c r="FW749" s="1492"/>
      <c r="FX749" s="1491"/>
      <c r="FY749" s="1490" t="str">
        <f t="shared" si="35"/>
        <v/>
      </c>
      <c r="FZ749" s="1492"/>
      <c r="GA749" s="1492"/>
      <c r="GB749" s="1492"/>
      <c r="GC749" s="1491"/>
    </row>
    <row r="750" spans="1:185" s="3" customFormat="1" ht="12.95" customHeight="1">
      <c r="A750"/>
      <c r="B750" s="1350"/>
      <c r="C750" s="1351"/>
      <c r="D750" s="1351"/>
      <c r="E750" s="1351"/>
      <c r="F750" s="1352"/>
      <c r="G750" s="1354"/>
      <c r="H750" s="1355"/>
      <c r="I750" s="1355"/>
      <c r="J750" s="1356"/>
      <c r="K750" s="1344"/>
      <c r="L750" s="1345"/>
      <c r="M750" s="1345"/>
      <c r="N750" s="1346"/>
      <c r="O750" s="1341"/>
      <c r="P750" s="1342"/>
      <c r="Q750" s="1342"/>
      <c r="R750" s="1342"/>
      <c r="S750" s="1343"/>
      <c r="T750" s="1341"/>
      <c r="U750" s="1342"/>
      <c r="V750" s="1342"/>
      <c r="W750" s="1343"/>
      <c r="X750" s="1357">
        <f t="shared" si="39"/>
        <v>0</v>
      </c>
      <c r="Y750" s="1358"/>
      <c r="Z750" s="1358"/>
      <c r="AA750" s="1358"/>
      <c r="AB750" s="1359"/>
      <c r="AC750" s="1364"/>
      <c r="AD750" s="1365"/>
      <c r="AE750" s="1365"/>
      <c r="AF750" s="1365"/>
      <c r="AG750" s="1366"/>
      <c r="AH750" s="1360" t="str">
        <f t="shared" si="36"/>
        <v/>
      </c>
      <c r="AI750" s="1361"/>
      <c r="AJ750" s="1362"/>
      <c r="AK750" s="1350" t="s">
        <v>592</v>
      </c>
      <c r="AL750" s="1351"/>
      <c r="AM750" s="1351"/>
      <c r="AN750" s="1351"/>
      <c r="AO750" s="1352"/>
      <c r="AT750"/>
      <c r="AU750"/>
      <c r="AV750"/>
      <c r="AW750"/>
      <c r="AX750"/>
      <c r="AY750"/>
      <c r="AZ750" s="118" t="str">
        <f t="shared" si="9"/>
        <v>N/A</v>
      </c>
      <c r="BA750" s="34"/>
      <c r="BB750" s="34"/>
      <c r="BC750" s="34"/>
      <c r="BD750" s="34"/>
      <c r="BE750" s="34"/>
      <c r="BF750" s="293">
        <f t="shared" si="10"/>
        <v>0</v>
      </c>
      <c r="BG750" s="296">
        <f t="shared" si="11"/>
        <v>0</v>
      </c>
      <c r="BH750" s="297" t="str">
        <f t="shared" si="12"/>
        <v/>
      </c>
      <c r="BJ750" s="34"/>
      <c r="BK750" s="34"/>
      <c r="BL750" s="34"/>
      <c r="BM750" s="34"/>
      <c r="BN750" s="34"/>
      <c r="BO750"/>
      <c r="BP750"/>
      <c r="BQ750"/>
      <c r="BR750"/>
      <c r="BS750" s="293">
        <f t="shared" si="13"/>
        <v>0</v>
      </c>
      <c r="BT750" s="296">
        <f t="shared" si="14"/>
        <v>0</v>
      </c>
      <c r="BU750" s="297" t="str">
        <f t="shared" si="15"/>
        <v/>
      </c>
      <c r="CD750"/>
      <c r="CG750" s="1490">
        <f t="shared" si="37"/>
        <v>0</v>
      </c>
      <c r="CH750" s="1491"/>
      <c r="CI750" s="1488">
        <f t="shared" si="38"/>
        <v>0</v>
      </c>
      <c r="CJ750" s="1489"/>
      <c r="CK750" s="1490">
        <f t="shared" si="16"/>
        <v>0</v>
      </c>
      <c r="CL750" s="1491"/>
      <c r="CM750" s="1488">
        <f t="shared" si="17"/>
        <v>0</v>
      </c>
      <c r="CN750" s="1489"/>
      <c r="CP750" s="1482">
        <f t="shared" si="18"/>
        <v>0</v>
      </c>
      <c r="CQ750" s="1483"/>
      <c r="CR750" s="1483"/>
      <c r="CS750" s="1483"/>
      <c r="CT750" s="1484"/>
      <c r="CU750" s="1486">
        <f t="shared" si="19"/>
        <v>0</v>
      </c>
      <c r="CV750" s="1486"/>
      <c r="CW750" s="1486"/>
      <c r="CX750" s="1486"/>
      <c r="CY750" s="1486"/>
      <c r="CZ750" s="1486">
        <f t="shared" si="20"/>
        <v>0</v>
      </c>
      <c r="DA750" s="1486"/>
      <c r="DB750" s="1486"/>
      <c r="DC750" s="1486"/>
      <c r="DD750" s="1486"/>
      <c r="DE750" s="1486">
        <f t="shared" si="21"/>
        <v>0</v>
      </c>
      <c r="DF750" s="1486"/>
      <c r="DG750" s="1486"/>
      <c r="DH750" s="1486"/>
      <c r="DI750" s="1486"/>
      <c r="DJ750" s="1486">
        <f t="shared" si="22"/>
        <v>0</v>
      </c>
      <c r="DK750" s="1486"/>
      <c r="DL750" s="1486"/>
      <c r="DM750" s="1486"/>
      <c r="DN750" s="1486"/>
      <c r="DO750" s="1486">
        <f t="shared" si="23"/>
        <v>0</v>
      </c>
      <c r="DP750" s="1486"/>
      <c r="DQ750" s="1486"/>
      <c r="DR750" s="1486"/>
      <c r="DS750" s="1486"/>
      <c r="DT750" s="6"/>
      <c r="DU750" s="1487">
        <f t="shared" si="24"/>
        <v>0</v>
      </c>
      <c r="DV750" s="1487"/>
      <c r="DW750" s="1487"/>
      <c r="DX750" s="1487"/>
      <c r="DY750" s="1487"/>
      <c r="DZ750" s="1487">
        <f t="shared" si="25"/>
        <v>0</v>
      </c>
      <c r="EA750" s="1487"/>
      <c r="EB750" s="1487"/>
      <c r="EC750" s="1487"/>
      <c r="ED750" s="1487"/>
      <c r="EE750" s="1487">
        <f t="shared" si="26"/>
        <v>0</v>
      </c>
      <c r="EF750" s="1487"/>
      <c r="EG750" s="1487"/>
      <c r="EH750" s="1487"/>
      <c r="EI750" s="1487"/>
      <c r="EJ750" s="1487">
        <f t="shared" si="27"/>
        <v>0</v>
      </c>
      <c r="EK750" s="1487"/>
      <c r="EL750" s="1487"/>
      <c r="EM750" s="1487"/>
      <c r="EN750" s="1487"/>
      <c r="EO750" s="1487">
        <f t="shared" si="28"/>
        <v>0</v>
      </c>
      <c r="EP750" s="1487"/>
      <c r="EQ750" s="1487"/>
      <c r="ER750" s="1487"/>
      <c r="ES750" s="1487"/>
      <c r="ET750" s="1487">
        <f t="shared" si="29"/>
        <v>0</v>
      </c>
      <c r="EU750" s="1487"/>
      <c r="EV750" s="1487"/>
      <c r="EW750" s="1487"/>
      <c r="EX750" s="1487"/>
      <c r="EY750"/>
      <c r="EZ750" s="1490" t="str">
        <f t="shared" si="30"/>
        <v/>
      </c>
      <c r="FA750" s="1492"/>
      <c r="FB750" s="1492"/>
      <c r="FC750" s="1492"/>
      <c r="FD750" s="1491"/>
      <c r="FE750" s="1490" t="str">
        <f t="shared" si="31"/>
        <v/>
      </c>
      <c r="FF750" s="1492"/>
      <c r="FG750" s="1492"/>
      <c r="FH750" s="1492"/>
      <c r="FI750" s="1491"/>
      <c r="FJ750" s="1490" t="str">
        <f t="shared" si="32"/>
        <v/>
      </c>
      <c r="FK750" s="1492"/>
      <c r="FL750" s="1492"/>
      <c r="FM750" s="1492"/>
      <c r="FN750" s="1491"/>
      <c r="FO750" s="1490" t="str">
        <f t="shared" si="33"/>
        <v/>
      </c>
      <c r="FP750" s="1492"/>
      <c r="FQ750" s="1492"/>
      <c r="FR750" s="1492"/>
      <c r="FS750" s="1491"/>
      <c r="FT750" s="1490" t="str">
        <f t="shared" si="34"/>
        <v/>
      </c>
      <c r="FU750" s="1492"/>
      <c r="FV750" s="1492"/>
      <c r="FW750" s="1492"/>
      <c r="FX750" s="1491"/>
      <c r="FY750" s="1490" t="str">
        <f t="shared" si="35"/>
        <v/>
      </c>
      <c r="FZ750" s="1492"/>
      <c r="GA750" s="1492"/>
      <c r="GB750" s="1492"/>
      <c r="GC750" s="1491"/>
    </row>
    <row r="751" spans="1:185" s="3" customFormat="1" ht="12.95" customHeight="1">
      <c r="A751"/>
      <c r="B751" s="1350"/>
      <c r="C751" s="1351"/>
      <c r="D751" s="1351"/>
      <c r="E751" s="1351"/>
      <c r="F751" s="1352"/>
      <c r="G751" s="1354"/>
      <c r="H751" s="1355"/>
      <c r="I751" s="1355"/>
      <c r="J751" s="1356"/>
      <c r="K751" s="1344"/>
      <c r="L751" s="1345"/>
      <c r="M751" s="1345"/>
      <c r="N751" s="1346"/>
      <c r="O751" s="1341"/>
      <c r="P751" s="1342"/>
      <c r="Q751" s="1342"/>
      <c r="R751" s="1342"/>
      <c r="S751" s="1343"/>
      <c r="T751" s="1341"/>
      <c r="U751" s="1342"/>
      <c r="V751" s="1342"/>
      <c r="W751" s="1343"/>
      <c r="X751" s="1357">
        <f t="shared" si="39"/>
        <v>0</v>
      </c>
      <c r="Y751" s="1358"/>
      <c r="Z751" s="1358"/>
      <c r="AA751" s="1358"/>
      <c r="AB751" s="1359"/>
      <c r="AC751" s="1364"/>
      <c r="AD751" s="1365"/>
      <c r="AE751" s="1365"/>
      <c r="AF751" s="1365"/>
      <c r="AG751" s="1366"/>
      <c r="AH751" s="1360" t="str">
        <f t="shared" si="36"/>
        <v/>
      </c>
      <c r="AI751" s="1361"/>
      <c r="AJ751" s="1362"/>
      <c r="AK751" s="1350" t="s">
        <v>592</v>
      </c>
      <c r="AL751" s="1351"/>
      <c r="AM751" s="1351"/>
      <c r="AN751" s="1351"/>
      <c r="AO751" s="1352"/>
      <c r="AT751"/>
      <c r="AU751"/>
      <c r="AV751"/>
      <c r="AW751"/>
      <c r="AX751"/>
      <c r="AY751"/>
      <c r="AZ751" s="118" t="str">
        <f t="shared" si="9"/>
        <v>N/A</v>
      </c>
      <c r="BA751" s="34"/>
      <c r="BB751" s="34"/>
      <c r="BC751" s="34"/>
      <c r="BD751" s="34"/>
      <c r="BE751" s="34"/>
      <c r="BF751" s="293">
        <f t="shared" si="10"/>
        <v>0</v>
      </c>
      <c r="BG751" s="296">
        <f t="shared" si="11"/>
        <v>0</v>
      </c>
      <c r="BH751" s="297" t="str">
        <f t="shared" si="12"/>
        <v/>
      </c>
      <c r="BJ751" s="34"/>
      <c r="BK751" s="34"/>
      <c r="BL751" s="34"/>
      <c r="BM751" s="34"/>
      <c r="BN751" s="34"/>
      <c r="BO751"/>
      <c r="BP751"/>
      <c r="BQ751"/>
      <c r="BR751"/>
      <c r="BS751" s="293">
        <f t="shared" si="13"/>
        <v>0</v>
      </c>
      <c r="BT751" s="296">
        <f t="shared" si="14"/>
        <v>0</v>
      </c>
      <c r="BU751" s="297" t="str">
        <f t="shared" si="15"/>
        <v/>
      </c>
      <c r="CD751"/>
      <c r="CG751" s="1490">
        <f t="shared" si="37"/>
        <v>0</v>
      </c>
      <c r="CH751" s="1491"/>
      <c r="CI751" s="1488">
        <f t="shared" si="38"/>
        <v>0</v>
      </c>
      <c r="CJ751" s="1489"/>
      <c r="CK751" s="1490">
        <f t="shared" si="16"/>
        <v>0</v>
      </c>
      <c r="CL751" s="1491"/>
      <c r="CM751" s="1488">
        <f t="shared" si="17"/>
        <v>0</v>
      </c>
      <c r="CN751" s="1489"/>
      <c r="CP751" s="1482">
        <f t="shared" si="18"/>
        <v>0</v>
      </c>
      <c r="CQ751" s="1483"/>
      <c r="CR751" s="1483"/>
      <c r="CS751" s="1483"/>
      <c r="CT751" s="1484"/>
      <c r="CU751" s="1486">
        <f t="shared" si="19"/>
        <v>0</v>
      </c>
      <c r="CV751" s="1486"/>
      <c r="CW751" s="1486"/>
      <c r="CX751" s="1486"/>
      <c r="CY751" s="1486"/>
      <c r="CZ751" s="1486">
        <f t="shared" si="20"/>
        <v>0</v>
      </c>
      <c r="DA751" s="1486"/>
      <c r="DB751" s="1486"/>
      <c r="DC751" s="1486"/>
      <c r="DD751" s="1486"/>
      <c r="DE751" s="1486">
        <f t="shared" si="21"/>
        <v>0</v>
      </c>
      <c r="DF751" s="1486"/>
      <c r="DG751" s="1486"/>
      <c r="DH751" s="1486"/>
      <c r="DI751" s="1486"/>
      <c r="DJ751" s="1486">
        <f t="shared" si="22"/>
        <v>0</v>
      </c>
      <c r="DK751" s="1486"/>
      <c r="DL751" s="1486"/>
      <c r="DM751" s="1486"/>
      <c r="DN751" s="1486"/>
      <c r="DO751" s="1486">
        <f t="shared" si="23"/>
        <v>0</v>
      </c>
      <c r="DP751" s="1486"/>
      <c r="DQ751" s="1486"/>
      <c r="DR751" s="1486"/>
      <c r="DS751" s="1486"/>
      <c r="DT751" s="6"/>
      <c r="DU751" s="1487">
        <f t="shared" si="24"/>
        <v>0</v>
      </c>
      <c r="DV751" s="1487"/>
      <c r="DW751" s="1487"/>
      <c r="DX751" s="1487"/>
      <c r="DY751" s="1487"/>
      <c r="DZ751" s="1487">
        <f t="shared" si="25"/>
        <v>0</v>
      </c>
      <c r="EA751" s="1487"/>
      <c r="EB751" s="1487"/>
      <c r="EC751" s="1487"/>
      <c r="ED751" s="1487"/>
      <c r="EE751" s="1487">
        <f t="shared" si="26"/>
        <v>0</v>
      </c>
      <c r="EF751" s="1487"/>
      <c r="EG751" s="1487"/>
      <c r="EH751" s="1487"/>
      <c r="EI751" s="1487"/>
      <c r="EJ751" s="1487">
        <f t="shared" si="27"/>
        <v>0</v>
      </c>
      <c r="EK751" s="1487"/>
      <c r="EL751" s="1487"/>
      <c r="EM751" s="1487"/>
      <c r="EN751" s="1487"/>
      <c r="EO751" s="1487">
        <f t="shared" si="28"/>
        <v>0</v>
      </c>
      <c r="EP751" s="1487"/>
      <c r="EQ751" s="1487"/>
      <c r="ER751" s="1487"/>
      <c r="ES751" s="1487"/>
      <c r="ET751" s="1487">
        <f t="shared" si="29"/>
        <v>0</v>
      </c>
      <c r="EU751" s="1487"/>
      <c r="EV751" s="1487"/>
      <c r="EW751" s="1487"/>
      <c r="EX751" s="1487"/>
      <c r="EY751"/>
      <c r="EZ751" s="1490" t="str">
        <f t="shared" si="30"/>
        <v/>
      </c>
      <c r="FA751" s="1492"/>
      <c r="FB751" s="1492"/>
      <c r="FC751" s="1492"/>
      <c r="FD751" s="1491"/>
      <c r="FE751" s="1490" t="str">
        <f t="shared" si="31"/>
        <v/>
      </c>
      <c r="FF751" s="1492"/>
      <c r="FG751" s="1492"/>
      <c r="FH751" s="1492"/>
      <c r="FI751" s="1491"/>
      <c r="FJ751" s="1490" t="str">
        <f t="shared" si="32"/>
        <v/>
      </c>
      <c r="FK751" s="1492"/>
      <c r="FL751" s="1492"/>
      <c r="FM751" s="1492"/>
      <c r="FN751" s="1491"/>
      <c r="FO751" s="1490" t="str">
        <f t="shared" si="33"/>
        <v/>
      </c>
      <c r="FP751" s="1492"/>
      <c r="FQ751" s="1492"/>
      <c r="FR751" s="1492"/>
      <c r="FS751" s="1491"/>
      <c r="FT751" s="1490" t="str">
        <f t="shared" si="34"/>
        <v/>
      </c>
      <c r="FU751" s="1492"/>
      <c r="FV751" s="1492"/>
      <c r="FW751" s="1492"/>
      <c r="FX751" s="1491"/>
      <c r="FY751" s="1490" t="str">
        <f t="shared" si="35"/>
        <v/>
      </c>
      <c r="FZ751" s="1492"/>
      <c r="GA751" s="1492"/>
      <c r="GB751" s="1492"/>
      <c r="GC751" s="1491"/>
    </row>
    <row r="752" spans="1:185" s="3" customFormat="1" ht="12.95" customHeight="1">
      <c r="A752"/>
      <c r="B752" s="1350"/>
      <c r="C752" s="1351"/>
      <c r="D752" s="1351"/>
      <c r="E752" s="1351"/>
      <c r="F752" s="1352"/>
      <c r="G752" s="1354"/>
      <c r="H752" s="1355"/>
      <c r="I752" s="1355"/>
      <c r="J752" s="1356"/>
      <c r="K752" s="1344"/>
      <c r="L752" s="1345"/>
      <c r="M752" s="1345"/>
      <c r="N752" s="1346"/>
      <c r="O752" s="1341"/>
      <c r="P752" s="1342"/>
      <c r="Q752" s="1342"/>
      <c r="R752" s="1342"/>
      <c r="S752" s="1343"/>
      <c r="T752" s="1341"/>
      <c r="U752" s="1342"/>
      <c r="V752" s="1342"/>
      <c r="W752" s="1343"/>
      <c r="X752" s="1357">
        <f>O752+T752</f>
        <v>0</v>
      </c>
      <c r="Y752" s="1358"/>
      <c r="Z752" s="1358"/>
      <c r="AA752" s="1358"/>
      <c r="AB752" s="1359"/>
      <c r="AC752" s="1364"/>
      <c r="AD752" s="1365"/>
      <c r="AE752" s="1365"/>
      <c r="AF752" s="1365"/>
      <c r="AG752" s="1366"/>
      <c r="AH752" s="1360" t="str">
        <f t="shared" si="36"/>
        <v/>
      </c>
      <c r="AI752" s="1361"/>
      <c r="AJ752" s="1362"/>
      <c r="AK752" s="1350" t="s">
        <v>592</v>
      </c>
      <c r="AL752" s="1351"/>
      <c r="AM752" s="1351"/>
      <c r="AN752" s="1351"/>
      <c r="AO752" s="1352"/>
      <c r="AT752"/>
      <c r="AU752"/>
      <c r="AV752"/>
      <c r="AW752"/>
      <c r="AX752"/>
      <c r="AY752"/>
      <c r="AZ752" s="118" t="str">
        <f t="shared" si="9"/>
        <v>N/A</v>
      </c>
      <c r="BA752" s="34"/>
      <c r="BB752" s="34"/>
      <c r="BC752" s="34"/>
      <c r="BE752"/>
      <c r="BF752" s="293">
        <f t="shared" si="10"/>
        <v>0</v>
      </c>
      <c r="BG752" s="296">
        <f t="shared" si="11"/>
        <v>0</v>
      </c>
      <c r="BH752" s="297" t="str">
        <f t="shared" si="12"/>
        <v/>
      </c>
      <c r="BJ752" s="34"/>
      <c r="BK752" s="34"/>
      <c r="BL752" s="34"/>
      <c r="BM752" s="34"/>
      <c r="BN752" s="34"/>
      <c r="BO752"/>
      <c r="BP752"/>
      <c r="BQ752"/>
      <c r="BR752"/>
      <c r="BS752" s="859">
        <f t="shared" si="13"/>
        <v>0</v>
      </c>
      <c r="BT752" s="296">
        <f t="shared" si="14"/>
        <v>0</v>
      </c>
      <c r="BU752" s="297" t="str">
        <f t="shared" si="15"/>
        <v/>
      </c>
      <c r="CD752"/>
      <c r="CG752" s="1490">
        <f t="shared" si="37"/>
        <v>0</v>
      </c>
      <c r="CH752" s="1491"/>
      <c r="CI752" s="1488">
        <f t="shared" si="38"/>
        <v>0</v>
      </c>
      <c r="CJ752" s="1489"/>
      <c r="CK752" s="1490">
        <f t="shared" si="16"/>
        <v>0</v>
      </c>
      <c r="CL752" s="1491"/>
      <c r="CM752" s="1488">
        <f t="shared" si="17"/>
        <v>0</v>
      </c>
      <c r="CN752" s="1489"/>
      <c r="CP752" s="1482">
        <f t="shared" si="18"/>
        <v>0</v>
      </c>
      <c r="CQ752" s="1483"/>
      <c r="CR752" s="1483"/>
      <c r="CS752" s="1483"/>
      <c r="CT752" s="1484"/>
      <c r="CU752" s="1486">
        <f t="shared" si="19"/>
        <v>0</v>
      </c>
      <c r="CV752" s="1486"/>
      <c r="CW752" s="1486"/>
      <c r="CX752" s="1486"/>
      <c r="CY752" s="1486"/>
      <c r="CZ752" s="1486">
        <f t="shared" si="20"/>
        <v>0</v>
      </c>
      <c r="DA752" s="1486"/>
      <c r="DB752" s="1486"/>
      <c r="DC752" s="1486"/>
      <c r="DD752" s="1486"/>
      <c r="DE752" s="1486">
        <f t="shared" si="21"/>
        <v>0</v>
      </c>
      <c r="DF752" s="1486"/>
      <c r="DG752" s="1486"/>
      <c r="DH752" s="1486"/>
      <c r="DI752" s="1486"/>
      <c r="DJ752" s="1486">
        <f t="shared" si="22"/>
        <v>0</v>
      </c>
      <c r="DK752" s="1486"/>
      <c r="DL752" s="1486"/>
      <c r="DM752" s="1486"/>
      <c r="DN752" s="1486"/>
      <c r="DO752" s="1486">
        <f t="shared" si="23"/>
        <v>0</v>
      </c>
      <c r="DP752" s="1486"/>
      <c r="DQ752" s="1486"/>
      <c r="DR752" s="1486"/>
      <c r="DS752" s="1486"/>
      <c r="DT752" s="6"/>
      <c r="DU752" s="1487">
        <f t="shared" si="24"/>
        <v>0</v>
      </c>
      <c r="DV752" s="1487"/>
      <c r="DW752" s="1487"/>
      <c r="DX752" s="1487"/>
      <c r="DY752" s="1487"/>
      <c r="DZ752" s="1487">
        <f t="shared" si="25"/>
        <v>0</v>
      </c>
      <c r="EA752" s="1487"/>
      <c r="EB752" s="1487"/>
      <c r="EC752" s="1487"/>
      <c r="ED752" s="1487"/>
      <c r="EE752" s="1487">
        <f t="shared" si="26"/>
        <v>0</v>
      </c>
      <c r="EF752" s="1487"/>
      <c r="EG752" s="1487"/>
      <c r="EH752" s="1487"/>
      <c r="EI752" s="1487"/>
      <c r="EJ752" s="1487">
        <f t="shared" si="27"/>
        <v>0</v>
      </c>
      <c r="EK752" s="1487"/>
      <c r="EL752" s="1487"/>
      <c r="EM752" s="1487"/>
      <c r="EN752" s="1487"/>
      <c r="EO752" s="1487">
        <f t="shared" si="28"/>
        <v>0</v>
      </c>
      <c r="EP752" s="1487"/>
      <c r="EQ752" s="1487"/>
      <c r="ER752" s="1487"/>
      <c r="ES752" s="1487"/>
      <c r="ET752" s="1487">
        <f t="shared" si="29"/>
        <v>0</v>
      </c>
      <c r="EU752" s="1487"/>
      <c r="EV752" s="1487"/>
      <c r="EW752" s="1487"/>
      <c r="EX752" s="1487"/>
      <c r="EY752"/>
      <c r="EZ752" s="1490" t="str">
        <f t="shared" si="30"/>
        <v/>
      </c>
      <c r="FA752" s="1492"/>
      <c r="FB752" s="1492"/>
      <c r="FC752" s="1492"/>
      <c r="FD752" s="1491"/>
      <c r="FE752" s="1490" t="str">
        <f t="shared" si="31"/>
        <v/>
      </c>
      <c r="FF752" s="1492"/>
      <c r="FG752" s="1492"/>
      <c r="FH752" s="1492"/>
      <c r="FI752" s="1491"/>
      <c r="FJ752" s="1490" t="str">
        <f t="shared" si="32"/>
        <v/>
      </c>
      <c r="FK752" s="1492"/>
      <c r="FL752" s="1492"/>
      <c r="FM752" s="1492"/>
      <c r="FN752" s="1491"/>
      <c r="FO752" s="1490" t="str">
        <f t="shared" si="33"/>
        <v/>
      </c>
      <c r="FP752" s="1492"/>
      <c r="FQ752" s="1492"/>
      <c r="FR752" s="1492"/>
      <c r="FS752" s="1491"/>
      <c r="FT752" s="1490" t="str">
        <f t="shared" si="34"/>
        <v/>
      </c>
      <c r="FU752" s="1492"/>
      <c r="FV752" s="1492"/>
      <c r="FW752" s="1492"/>
      <c r="FX752" s="1491"/>
      <c r="FY752" s="1490" t="str">
        <f t="shared" si="35"/>
        <v/>
      </c>
      <c r="FZ752" s="1492"/>
      <c r="GA752" s="1492"/>
      <c r="GB752" s="1492"/>
      <c r="GC752" s="1491"/>
    </row>
    <row r="753" spans="1:185" s="3" customFormat="1" ht="12.95" customHeight="1">
      <c r="A753"/>
      <c r="B753" s="1464" t="s">
        <v>125</v>
      </c>
      <c r="C753" s="1465"/>
      <c r="D753" s="1465"/>
      <c r="E753" s="1465"/>
      <c r="F753" s="1466"/>
      <c r="G753" s="1638">
        <f>SUM(G718:G752)</f>
        <v>149</v>
      </c>
      <c r="H753" s="1639"/>
      <c r="I753" s="1639"/>
      <c r="J753" s="1640"/>
      <c r="K753" s="901" t="s">
        <v>124</v>
      </c>
      <c r="L753" s="5"/>
      <c r="M753" s="5"/>
      <c r="N753" s="46"/>
      <c r="O753" s="1357">
        <f>SUMPRODUCT(G718:G752,O718:O752)</f>
        <v>168043</v>
      </c>
      <c r="P753" s="1358"/>
      <c r="Q753" s="1358"/>
      <c r="R753" s="1358"/>
      <c r="S753" s="1359"/>
      <c r="T753"/>
      <c r="U753"/>
      <c r="V753"/>
      <c r="W753"/>
      <c r="X753" s="903" t="s">
        <v>901</v>
      </c>
      <c r="Y753" s="902"/>
      <c r="Z753" s="902"/>
      <c r="AA753" s="902"/>
      <c r="AB753" s="904"/>
      <c r="AC753" s="1621">
        <f>BH753</f>
        <v>0.448993288590604</v>
      </c>
      <c r="AD753" s="1622"/>
      <c r="AE753" s="1622"/>
      <c r="AF753" s="1622"/>
      <c r="AG753" s="1623"/>
      <c r="AH753" s="1621">
        <f>IFERROR(BU753,"")</f>
        <v>0.448993288590604</v>
      </c>
      <c r="AI753" s="1622"/>
      <c r="AJ753" s="1623"/>
      <c r="AK753"/>
      <c r="AL753"/>
      <c r="AM753"/>
      <c r="AN753"/>
      <c r="AO753"/>
      <c r="AP753" s="205"/>
      <c r="AQ753" s="205"/>
      <c r="AR753" s="205"/>
      <c r="AS753" s="205"/>
      <c r="AT753"/>
      <c r="AU753"/>
      <c r="AV753"/>
      <c r="AW753"/>
      <c r="AX753"/>
      <c r="AY753"/>
      <c r="AZ753" s="34"/>
      <c r="BA753" s="34"/>
      <c r="BB753" s="34"/>
      <c r="BC753" s="34"/>
      <c r="BE753" s="289" t="s">
        <v>900</v>
      </c>
      <c r="BF753" s="298">
        <f>SUM(BF718:BF752)</f>
        <v>149</v>
      </c>
      <c r="BG753" s="299">
        <f>SUM(BG718:BG752)</f>
        <v>0.99999999999999989</v>
      </c>
      <c r="BH753" s="299">
        <f>SUM(BH718:BH752)</f>
        <v>0.448993288590604</v>
      </c>
      <c r="BI753"/>
      <c r="BJ753"/>
      <c r="BK753"/>
      <c r="BL753"/>
      <c r="BO753"/>
      <c r="BP753"/>
      <c r="BQ753"/>
      <c r="BR753"/>
      <c r="BS753" s="858">
        <f>SUM(BS718:BS752)</f>
        <v>149</v>
      </c>
      <c r="BT753" s="299">
        <f>SUM(BT718:BT752)</f>
        <v>0.99999999999999989</v>
      </c>
      <c r="BU753" s="299">
        <f>SUM(BU718:BU752)</f>
        <v>0.448993288590604</v>
      </c>
      <c r="CI753" s="1490">
        <f>SUM(CI718:CJ752)</f>
        <v>0</v>
      </c>
      <c r="CJ753" s="1491"/>
      <c r="CM753" s="1490">
        <f>SUM(CM718:CN752)</f>
        <v>75</v>
      </c>
      <c r="CN753" s="1491"/>
      <c r="CP753" s="1490">
        <f>SUM(CP718:CT752)</f>
        <v>120</v>
      </c>
      <c r="CQ753" s="1492"/>
      <c r="CR753" s="1492"/>
      <c r="CS753" s="1492"/>
      <c r="CT753" s="1491"/>
      <c r="CU753" s="1485">
        <f>SUM(CU718:CY752)</f>
        <v>29</v>
      </c>
      <c r="CV753" s="1485"/>
      <c r="CW753" s="1485"/>
      <c r="CX753" s="1485"/>
      <c r="CY753" s="1485"/>
      <c r="CZ753" s="1485">
        <f>SUM(CZ718:DD752)</f>
        <v>0</v>
      </c>
      <c r="DA753" s="1485"/>
      <c r="DB753" s="1485"/>
      <c r="DC753" s="1485"/>
      <c r="DD753" s="1485"/>
      <c r="DE753" s="1485">
        <f>SUM(DE718:DI752)</f>
        <v>0</v>
      </c>
      <c r="DF753" s="1485"/>
      <c r="DG753" s="1485"/>
      <c r="DH753" s="1485"/>
      <c r="DI753" s="1485"/>
      <c r="DJ753" s="1485">
        <f>SUM(DJ718:DN752)</f>
        <v>0</v>
      </c>
      <c r="DK753" s="1485"/>
      <c r="DL753" s="1485"/>
      <c r="DM753" s="1485"/>
      <c r="DN753" s="1485"/>
      <c r="DO753" s="1485">
        <f>SUM(DO718:DS752)</f>
        <v>0</v>
      </c>
      <c r="DP753" s="1485"/>
      <c r="DQ753" s="1485"/>
      <c r="DR753" s="1485"/>
      <c r="DS753" s="1485"/>
      <c r="DT753" s="353"/>
      <c r="DU753" s="1485">
        <f>SUM(DU718:DY752)</f>
        <v>60</v>
      </c>
      <c r="DV753" s="1485"/>
      <c r="DW753" s="1485"/>
      <c r="DX753" s="1485"/>
      <c r="DY753" s="1485"/>
      <c r="DZ753" s="1485">
        <f>SUM(DZ718:ED752)</f>
        <v>15</v>
      </c>
      <c r="EA753" s="1485"/>
      <c r="EB753" s="1485"/>
      <c r="EC753" s="1485"/>
      <c r="ED753" s="1485"/>
      <c r="EE753" s="1485">
        <f>SUM(EE718:EI752)</f>
        <v>0</v>
      </c>
      <c r="EF753" s="1485"/>
      <c r="EG753" s="1485"/>
      <c r="EH753" s="1485"/>
      <c r="EI753" s="1485"/>
      <c r="EJ753" s="1485">
        <f>SUM(EJ718:EN752)</f>
        <v>0</v>
      </c>
      <c r="EK753" s="1485"/>
      <c r="EL753" s="1485"/>
      <c r="EM753" s="1485"/>
      <c r="EN753" s="1485"/>
      <c r="EO753" s="1485">
        <f>SUM(EO718:ES752)</f>
        <v>0</v>
      </c>
      <c r="EP753" s="1485"/>
      <c r="EQ753" s="1485"/>
      <c r="ER753" s="1485"/>
      <c r="ES753" s="1485"/>
      <c r="ET753" s="1485">
        <f>SUM(ET718:EX752)</f>
        <v>0</v>
      </c>
      <c r="EU753" s="1485"/>
      <c r="EV753" s="1485"/>
      <c r="EW753" s="1485"/>
      <c r="EX753" s="1485"/>
      <c r="EY753"/>
      <c r="EZ753" s="1485">
        <f>SUM(EZ718:FD752)</f>
        <v>2237</v>
      </c>
      <c r="FA753" s="1485"/>
      <c r="FB753" s="1485"/>
      <c r="FC753" s="1485"/>
      <c r="FD753" s="1485"/>
      <c r="FE753" s="1485">
        <f>SUM(FE718:FI752)</f>
        <v>2362</v>
      </c>
      <c r="FF753" s="1485"/>
      <c r="FG753" s="1485"/>
      <c r="FH753" s="1485"/>
      <c r="FI753" s="1485"/>
      <c r="FJ753" s="1485">
        <f>SUM(FJ718:FN752)</f>
        <v>0</v>
      </c>
      <c r="FK753" s="1485"/>
      <c r="FL753" s="1485"/>
      <c r="FM753" s="1485"/>
      <c r="FN753" s="1485"/>
      <c r="FO753" s="1485">
        <f>SUM(FO718:FS752)</f>
        <v>0</v>
      </c>
      <c r="FP753" s="1485"/>
      <c r="FQ753" s="1485"/>
      <c r="FR753" s="1485"/>
      <c r="FS753" s="1485"/>
      <c r="FT753" s="1485">
        <f>SUM(FT718:FX752)</f>
        <v>0</v>
      </c>
      <c r="FU753" s="1485"/>
      <c r="FV753" s="1485"/>
      <c r="FW753" s="1485"/>
      <c r="FX753" s="1485"/>
      <c r="FY753" s="1485">
        <f>SUM(FY718:GC752)</f>
        <v>0</v>
      </c>
      <c r="FZ753" s="1485"/>
      <c r="GA753" s="1485"/>
      <c r="GB753" s="1485"/>
      <c r="GC753" s="1485"/>
    </row>
    <row r="754" spans="1:185" s="3" customFormat="1" ht="12.95" customHeight="1">
      <c r="A754"/>
      <c r="B754" s="1637" t="s">
        <v>1895</v>
      </c>
      <c r="C754" s="1637"/>
      <c r="D754" s="1637"/>
      <c r="E754" s="1637"/>
      <c r="F754" s="1637"/>
      <c r="G754" s="1637"/>
      <c r="H754" s="1637"/>
      <c r="I754" s="1637"/>
      <c r="J754" s="1637"/>
      <c r="K754" s="1637"/>
      <c r="L754" s="1637"/>
      <c r="M754" s="1637"/>
      <c r="N754" s="1637"/>
      <c r="O754" s="1637"/>
      <c r="P754" s="1637"/>
      <c r="Q754" s="1637"/>
      <c r="R754" s="1637"/>
      <c r="S754" s="1637"/>
      <c r="T754" s="1637"/>
      <c r="U754" s="1637"/>
      <c r="V754" s="1637"/>
      <c r="W754" s="1637"/>
      <c r="X754" s="1637"/>
      <c r="Y754" s="1637"/>
      <c r="Z754" s="1637"/>
      <c r="AA754" s="1637"/>
      <c r="AB754" s="1637"/>
      <c r="AC754" s="1637"/>
      <c r="AD754" s="1637"/>
      <c r="AE754" s="1637"/>
      <c r="AF754" s="1637"/>
      <c r="AG754" s="1637"/>
      <c r="AH754" s="1637"/>
      <c r="AI754"/>
      <c r="AJ754"/>
      <c r="AK754"/>
      <c r="AT754"/>
      <c r="AU754"/>
      <c r="AV754"/>
      <c r="AW754"/>
      <c r="AX754"/>
      <c r="AY754"/>
      <c r="CD754"/>
      <c r="DN754" s="56" t="s">
        <v>1862</v>
      </c>
      <c r="DO754" s="1490">
        <f>CP753+CU753+CZ753+DE753+DJ753+DO753</f>
        <v>149</v>
      </c>
      <c r="DP754" s="1492"/>
      <c r="DQ754" s="1492"/>
      <c r="DR754" s="1492"/>
      <c r="DS754" s="1491"/>
      <c r="DT754" s="353"/>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37"/>
      <c r="C755" s="1637"/>
      <c r="D755" s="1637"/>
      <c r="E755" s="1637"/>
      <c r="F755" s="1637"/>
      <c r="G755" s="1637"/>
      <c r="H755" s="1637"/>
      <c r="I755" s="1637"/>
      <c r="J755" s="1637"/>
      <c r="K755" s="1637"/>
      <c r="L755" s="1637"/>
      <c r="M755" s="1637"/>
      <c r="N755" s="1637"/>
      <c r="O755" s="1637"/>
      <c r="P755" s="1637"/>
      <c r="Q755" s="1637"/>
      <c r="R755" s="1637"/>
      <c r="S755" s="1637"/>
      <c r="T755" s="1637"/>
      <c r="U755" s="1637"/>
      <c r="V755" s="1637"/>
      <c r="W755" s="1637"/>
      <c r="X755" s="1637"/>
      <c r="Y755" s="1637"/>
      <c r="Z755" s="1637"/>
      <c r="AA755" s="1637"/>
      <c r="AB755" s="1637"/>
      <c r="AC755" s="1637"/>
      <c r="AD755" s="1637"/>
      <c r="AE755" s="1637"/>
      <c r="AF755" s="1637"/>
      <c r="AG755" s="1637"/>
      <c r="AH755" s="163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0">
        <f>CP753*1</f>
        <v>120</v>
      </c>
      <c r="CU755" s="3"/>
      <c r="CV755" s="3"/>
      <c r="CW755" s="3"/>
      <c r="CX755" s="3"/>
      <c r="CY755" s="860">
        <f>CU753*1</f>
        <v>29</v>
      </c>
      <c r="CZ755" s="3"/>
      <c r="DA755" s="3"/>
      <c r="DB755" s="3"/>
      <c r="DC755" s="3"/>
      <c r="DD755" s="860">
        <f>CZ753*2</f>
        <v>0</v>
      </c>
      <c r="DE755" s="3"/>
      <c r="DF755" s="3"/>
      <c r="DG755" s="3"/>
      <c r="DH755" s="3"/>
      <c r="DI755" s="860">
        <f>DE753*3</f>
        <v>0</v>
      </c>
      <c r="DJ755" s="3"/>
      <c r="DK755" s="3"/>
      <c r="DL755" s="3"/>
      <c r="DM755" s="3"/>
      <c r="DN755" s="860">
        <f>DJ753*4</f>
        <v>0</v>
      </c>
      <c r="DO755" s="3"/>
      <c r="DP755" s="3"/>
      <c r="DQ755" s="3"/>
      <c r="DR755" s="3"/>
      <c r="DS755" s="860">
        <f>DO753*5</f>
        <v>0</v>
      </c>
      <c r="DU755" s="860">
        <f>CT755+CY755+DD755+DI755+DN755+DS755</f>
        <v>149</v>
      </c>
      <c r="DV755" s="57" t="s">
        <v>1864</v>
      </c>
      <c r="DW755" s="3"/>
      <c r="DX755" s="3"/>
      <c r="DY755" s="3"/>
      <c r="DZ755" s="3"/>
      <c r="EA755" s="3"/>
      <c r="EB755" s="3"/>
      <c r="EC755" s="3"/>
      <c r="ED755" s="3"/>
      <c r="EE755" s="3"/>
      <c r="EF755" s="3"/>
      <c r="EG755" s="3"/>
      <c r="EH755" s="3"/>
    </row>
    <row r="756" spans="1:185" ht="12.95" customHeight="1">
      <c r="A756" s="3"/>
      <c r="B756" s="3"/>
      <c r="C756" s="118" t="s">
        <v>1893</v>
      </c>
      <c r="D756" s="1031"/>
      <c r="E756" s="1031"/>
      <c r="F756" s="1031"/>
      <c r="G756" s="1032"/>
      <c r="H756" s="1032"/>
      <c r="I756" s="1032"/>
      <c r="J756" s="1032"/>
      <c r="K756" s="1031"/>
      <c r="L756" s="1031"/>
      <c r="M756" s="1031"/>
      <c r="N756" s="1031"/>
      <c r="O756" s="1485">
        <f>DU755</f>
        <v>149</v>
      </c>
      <c r="P756" s="1485"/>
      <c r="Q756" s="1485"/>
      <c r="R756" s="1485"/>
      <c r="S756" s="968"/>
      <c r="T756" s="968"/>
      <c r="U756" s="118" t="s">
        <v>1894</v>
      </c>
      <c r="V756" s="1031"/>
      <c r="W756" s="1031"/>
      <c r="X756" s="1031"/>
      <c r="Y756" s="1032"/>
      <c r="Z756" s="1032"/>
      <c r="AA756" s="1032"/>
      <c r="AB756" s="1032"/>
      <c r="AC756" s="1031"/>
      <c r="AD756" s="1031"/>
      <c r="AE756" s="1031"/>
      <c r="AF756" s="1031"/>
      <c r="AG756" s="1644">
        <v>75</v>
      </c>
      <c r="AH756" s="1644"/>
      <c r="AI756" s="1644"/>
      <c r="AJ756" s="1644"/>
      <c r="AK756" s="3"/>
      <c r="AL756" s="3"/>
      <c r="AM756" s="3"/>
      <c r="AN756" s="3"/>
      <c r="AO756" s="3"/>
      <c r="AP756" s="3"/>
      <c r="AQ756" s="3"/>
      <c r="AR756" s="3"/>
      <c r="AS756" s="3"/>
      <c r="AZ756" s="3"/>
      <c r="BA756" s="3"/>
      <c r="BB756" s="289"/>
      <c r="BC756" s="289"/>
      <c r="BD756" s="289"/>
      <c r="BE756" s="289"/>
      <c r="BF756" s="289"/>
      <c r="BG756" s="289"/>
      <c r="BH756" s="289"/>
      <c r="BI756" s="289"/>
      <c r="BJ756" s="289"/>
      <c r="BK756" s="289"/>
      <c r="BL756" s="289"/>
      <c r="BM756" s="289"/>
      <c r="BN756" s="289"/>
      <c r="BO756" s="289"/>
      <c r="BP756" s="289"/>
      <c r="BQ756" s="289"/>
      <c r="BR756" s="289"/>
      <c r="BS756" s="289"/>
      <c r="BT756" s="289"/>
      <c r="BU756" s="289"/>
      <c r="BV756" s="289"/>
      <c r="BW756" s="289"/>
      <c r="BX756" s="289"/>
      <c r="BY756" s="289"/>
      <c r="BZ756" s="289"/>
      <c r="CA756" s="289"/>
      <c r="CB756" s="289"/>
      <c r="CC756" s="289"/>
      <c r="CE756" s="3"/>
      <c r="CF756" s="289"/>
      <c r="CG756" s="289"/>
      <c r="CH756" s="289"/>
      <c r="CI756" s="289"/>
      <c r="CJ756" s="289"/>
      <c r="CK756" s="289"/>
      <c r="CL756" s="289"/>
      <c r="CM756" s="289"/>
      <c r="CN756" s="289"/>
      <c r="CO756" s="289"/>
      <c r="CP756" s="289"/>
      <c r="CQ756" s="289"/>
      <c r="CR756" s="289"/>
      <c r="CS756" s="289"/>
      <c r="CT756" s="289"/>
      <c r="CU756" s="289"/>
      <c r="CV756" s="289"/>
      <c r="CW756" s="289"/>
      <c r="CX756" s="289"/>
      <c r="CY756" s="289"/>
      <c r="CZ756" s="289"/>
      <c r="DA756" s="289"/>
      <c r="DB756" s="289"/>
      <c r="DC756" s="289"/>
      <c r="DD756" s="289"/>
      <c r="DE756" s="289"/>
      <c r="DF756" s="289"/>
      <c r="DG756" s="289"/>
      <c r="DH756" s="289"/>
      <c r="DI756" s="289"/>
      <c r="DJ756" s="289"/>
      <c r="DK756" s="289"/>
      <c r="DL756" s="289"/>
      <c r="DM756" s="289"/>
      <c r="DN756" s="289"/>
      <c r="DO756" s="289"/>
      <c r="DP756" s="289"/>
      <c r="DQ756" s="289"/>
      <c r="DR756" s="289"/>
      <c r="DS756" s="289"/>
      <c r="DT756" s="289"/>
      <c r="DU756" s="289"/>
      <c r="DV756" s="289"/>
      <c r="DW756" s="289"/>
      <c r="FB756" s="289"/>
      <c r="FC756" s="289"/>
    </row>
    <row r="757" spans="1:185" ht="12.95" customHeight="1">
      <c r="B757" s="57"/>
      <c r="C757" s="1390" t="str">
        <f>IF(G753&lt;&gt;AG440,"! Total Low-Income Units in the Unit Mix Table above does not match the number of Total Low-Income Units on row #"&amp;TEXT(ROW(D440),"#"),"")</f>
        <v/>
      </c>
      <c r="D757" s="1390"/>
      <c r="E757" s="1390"/>
      <c r="F757" s="1390"/>
      <c r="G757" s="1390"/>
      <c r="H757" s="1390"/>
      <c r="I757" s="1390"/>
      <c r="J757" s="1390"/>
      <c r="K757" s="1390"/>
      <c r="L757" s="1390"/>
      <c r="M757" s="1390"/>
      <c r="N757" s="1390"/>
      <c r="O757" s="1390"/>
      <c r="P757" s="1390"/>
      <c r="Q757" s="1390"/>
      <c r="R757" s="1390"/>
      <c r="S757" s="1390"/>
      <c r="T757" s="1390"/>
      <c r="U757" s="1390"/>
      <c r="V757" s="1390"/>
      <c r="W757" s="1390"/>
      <c r="X757" s="1390"/>
      <c r="Y757" s="1390"/>
      <c r="Z757" s="1390"/>
      <c r="AA757" s="1390"/>
      <c r="AB757" s="1390"/>
      <c r="AC757" s="1390"/>
      <c r="AD757" s="1390"/>
      <c r="AE757" s="1390"/>
      <c r="AF757" s="1390"/>
      <c r="AG757" s="1390"/>
      <c r="AH757" s="1390"/>
      <c r="AI757" s="1390"/>
      <c r="AJ757" s="1390"/>
      <c r="AK757" s="1390"/>
      <c r="AL757" s="1390"/>
      <c r="AM757" s="1390"/>
      <c r="AP757" s="289"/>
      <c r="AQ757" s="289"/>
      <c r="AR757" s="289"/>
      <c r="AS757" s="289"/>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90"/>
      <c r="D758" s="1390"/>
      <c r="E758" s="1390"/>
      <c r="F758" s="1390"/>
      <c r="G758" s="1390"/>
      <c r="H758" s="1390"/>
      <c r="I758" s="1390"/>
      <c r="J758" s="1390"/>
      <c r="K758" s="1390"/>
      <c r="L758" s="1390"/>
      <c r="M758" s="1390"/>
      <c r="N758" s="1390"/>
      <c r="O758" s="1390"/>
      <c r="P758" s="1390"/>
      <c r="Q758" s="1390"/>
      <c r="R758" s="1390"/>
      <c r="S758" s="1390"/>
      <c r="T758" s="1390"/>
      <c r="U758" s="1390"/>
      <c r="V758" s="1390"/>
      <c r="W758" s="1390"/>
      <c r="X758" s="1390"/>
      <c r="Y758" s="1390"/>
      <c r="Z758" s="1390"/>
      <c r="AA758" s="1390"/>
      <c r="AB758" s="1390"/>
      <c r="AC758" s="1390"/>
      <c r="AD758" s="1390"/>
      <c r="AE758" s="1390"/>
      <c r="AF758" s="1390"/>
      <c r="AG758" s="1390"/>
      <c r="AH758" s="1390"/>
      <c r="AI758" s="1390"/>
      <c r="AJ758" s="1390"/>
      <c r="AK758" s="1390"/>
      <c r="AL758" s="1390"/>
      <c r="AM758" s="1390"/>
      <c r="AP758" s="289"/>
      <c r="AQ758" s="289"/>
      <c r="AR758" s="289"/>
      <c r="AS758" s="289"/>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3"/>
      <c r="E759" s="1033"/>
      <c r="F759" s="1033"/>
      <c r="G759" s="1033"/>
      <c r="H759" s="1033"/>
      <c r="I759" s="1033"/>
      <c r="J759" s="1033"/>
      <c r="K759" s="1033"/>
      <c r="L759" s="1033"/>
      <c r="M759" s="1033"/>
      <c r="N759" s="1033"/>
      <c r="O759" s="1033"/>
      <c r="P759" s="1033"/>
      <c r="Q759" s="1033"/>
      <c r="R759" s="1033"/>
      <c r="S759" s="1033"/>
      <c r="T759" s="1033"/>
      <c r="U759" s="1033"/>
      <c r="V759" s="1033"/>
      <c r="W759" s="1033"/>
      <c r="X759" s="1033"/>
      <c r="Y759" s="1033"/>
      <c r="Z759" s="1033"/>
      <c r="AA759" s="1033"/>
      <c r="AB759" s="1033"/>
      <c r="AC759" s="1033"/>
      <c r="AD759" s="1641" t="s">
        <v>592</v>
      </c>
      <c r="AE759" s="1641"/>
      <c r="AF759" s="1641"/>
      <c r="AG759" s="1033"/>
      <c r="AH759" s="1033"/>
      <c r="AI759" s="1033"/>
      <c r="AJ759" s="1033"/>
      <c r="AK759" s="1033"/>
      <c r="AL759" s="1033"/>
      <c r="AM759" s="1033"/>
      <c r="AN759" s="1033"/>
      <c r="AO759" s="1033"/>
      <c r="AP759" s="1033"/>
      <c r="AQ759" s="1033"/>
      <c r="AR759" s="10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4" t="s">
        <v>2090</v>
      </c>
      <c r="D760" s="1033"/>
      <c r="E760" s="1033"/>
      <c r="F760" s="1033"/>
      <c r="G760" s="1033"/>
      <c r="H760" s="1033"/>
      <c r="I760" s="1033"/>
      <c r="J760" s="1033"/>
      <c r="K760" s="1033"/>
      <c r="L760" s="1033"/>
      <c r="M760" s="1033"/>
      <c r="N760" s="1033"/>
      <c r="O760" s="1033"/>
      <c r="P760" s="1033"/>
      <c r="Q760" s="1033"/>
      <c r="R760" s="1033"/>
      <c r="S760" s="1033"/>
      <c r="T760" s="1033"/>
      <c r="U760" s="1033"/>
      <c r="V760" s="1033"/>
      <c r="W760" s="1033"/>
      <c r="X760" s="1033"/>
      <c r="Y760" s="1033"/>
      <c r="Z760" s="1033"/>
      <c r="AA760" s="1033"/>
      <c r="AB760" s="1033"/>
      <c r="AC760" s="1033"/>
      <c r="AD760" s="1033"/>
      <c r="AE760" s="1033"/>
      <c r="AF760" s="1033"/>
      <c r="AG760" s="1033"/>
      <c r="AH760" s="1033"/>
      <c r="AI760" s="1033"/>
      <c r="AJ760" s="1033"/>
      <c r="AK760" s="1033"/>
      <c r="AL760" s="1033"/>
      <c r="AM760" s="1033"/>
      <c r="AN760" s="1033"/>
      <c r="AO760" s="1033"/>
      <c r="AP760" s="1033"/>
      <c r="AQ760" s="1033"/>
      <c r="AR760" s="10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1"/>
      <c r="C762" s="118" t="s">
        <v>177</v>
      </c>
      <c r="D762" s="1031"/>
      <c r="E762" s="1031"/>
      <c r="F762" s="1031"/>
      <c r="G762" s="353"/>
      <c r="H762" s="353"/>
      <c r="I762" s="353"/>
      <c r="J762" s="353"/>
      <c r="K762" s="353"/>
      <c r="L762" s="1031"/>
      <c r="M762" s="1031"/>
      <c r="N762" s="1031"/>
      <c r="O762" s="1031"/>
      <c r="P762" s="1031"/>
      <c r="Q762" s="353"/>
      <c r="R762" s="353"/>
      <c r="S762" s="353"/>
      <c r="T762" s="353"/>
      <c r="U762" s="35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1"/>
      <c r="C763" s="1271" t="s">
        <v>2091</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1"/>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1"/>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1"/>
      <c r="C766" s="1271" t="s">
        <v>2092</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89"/>
      <c r="DY766" s="289"/>
      <c r="DZ766" s="289"/>
      <c r="EA766" s="289"/>
      <c r="EB766" s="289"/>
      <c r="EC766" s="289"/>
      <c r="ED766" s="289"/>
      <c r="EE766" s="289"/>
      <c r="EF766" s="289"/>
      <c r="EG766" s="289"/>
      <c r="EH766" s="289"/>
      <c r="EI766" s="289"/>
      <c r="EJ766" s="289"/>
      <c r="EK766" s="289"/>
      <c r="EL766" s="289"/>
      <c r="EM766" s="289"/>
      <c r="EN766" s="289"/>
      <c r="EO766" s="289"/>
      <c r="EP766" s="289"/>
      <c r="EQ766" s="289"/>
      <c r="ER766" s="289"/>
      <c r="ES766" s="289"/>
      <c r="ET766" s="289"/>
      <c r="EU766" s="289"/>
      <c r="EV766" s="289"/>
      <c r="EW766" s="289"/>
      <c r="EX766" s="289"/>
      <c r="EY766" s="289"/>
      <c r="EZ766" s="289"/>
      <c r="FA766" s="289"/>
    </row>
    <row r="767" spans="1:185" ht="12.95" customHeight="1">
      <c r="A767" s="3"/>
      <c r="B767" s="1031"/>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1"/>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7" t="s">
        <v>389</v>
      </c>
      <c r="K769" s="1368"/>
      <c r="L769" s="1368"/>
      <c r="M769" s="1368"/>
      <c r="N769" s="1369"/>
      <c r="O769" s="1636" t="s">
        <v>285</v>
      </c>
      <c r="P769" s="1636"/>
      <c r="Q769" s="1636"/>
      <c r="R769" s="1636"/>
      <c r="S769" s="1636"/>
      <c r="T769" s="1707" t="s">
        <v>1680</v>
      </c>
      <c r="U769" s="1708"/>
      <c r="V769" s="1708"/>
      <c r="W769" s="1709"/>
      <c r="X769" s="1367" t="s">
        <v>448</v>
      </c>
      <c r="Y769" s="1368"/>
      <c r="Z769" s="1368"/>
      <c r="AA769" s="1368"/>
      <c r="AB769" s="1369"/>
      <c r="AC769" s="1367" t="s">
        <v>286</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70"/>
      <c r="K770" s="1371"/>
      <c r="L770" s="1371"/>
      <c r="M770" s="1371"/>
      <c r="N770" s="1372"/>
      <c r="O770" s="1636"/>
      <c r="P770" s="1636"/>
      <c r="Q770" s="1636"/>
      <c r="R770" s="1636"/>
      <c r="S770" s="1636"/>
      <c r="T770" s="1710"/>
      <c r="U770" s="1711"/>
      <c r="V770" s="1711"/>
      <c r="W770" s="1712"/>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70"/>
      <c r="K771" s="1371"/>
      <c r="L771" s="1371"/>
      <c r="M771" s="1371"/>
      <c r="N771" s="1372"/>
      <c r="O771" s="1636"/>
      <c r="P771" s="1636"/>
      <c r="Q771" s="1636"/>
      <c r="R771" s="1636"/>
      <c r="S771" s="1636"/>
      <c r="T771" s="1710"/>
      <c r="U771" s="1711"/>
      <c r="V771" s="1711"/>
      <c r="W771" s="1712"/>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3"/>
      <c r="K772" s="1374"/>
      <c r="L772" s="1374"/>
      <c r="M772" s="1374"/>
      <c r="N772" s="1375"/>
      <c r="O772" s="1636"/>
      <c r="P772" s="1636"/>
      <c r="Q772" s="1636"/>
      <c r="R772" s="1636"/>
      <c r="S772" s="1636"/>
      <c r="T772" s="1731"/>
      <c r="U772" s="1732"/>
      <c r="V772" s="1732"/>
      <c r="W772" s="1733"/>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0" t="s">
        <v>163</v>
      </c>
      <c r="K773" s="1351"/>
      <c r="L773" s="1351"/>
      <c r="M773" s="1351"/>
      <c r="N773" s="1352"/>
      <c r="O773" s="1630">
        <v>1</v>
      </c>
      <c r="P773" s="1630"/>
      <c r="Q773" s="1630"/>
      <c r="R773" s="1630"/>
      <c r="S773" s="1630"/>
      <c r="T773" s="1344">
        <v>845</v>
      </c>
      <c r="U773" s="1345"/>
      <c r="V773" s="1345"/>
      <c r="W773" s="1346"/>
      <c r="X773" s="1341">
        <v>0</v>
      </c>
      <c r="Y773" s="1342"/>
      <c r="Z773" s="1342"/>
      <c r="AA773" s="1342"/>
      <c r="AB773" s="1343"/>
      <c r="AC773" s="1357">
        <f>X773*O773</f>
        <v>0</v>
      </c>
      <c r="AD773" s="1358"/>
      <c r="AE773" s="1358"/>
      <c r="AF773" s="1358"/>
      <c r="AG773" s="1359"/>
      <c r="AH773" s="1020"/>
      <c r="AI773" s="116"/>
      <c r="AJ773" s="116"/>
      <c r="AK773" s="1020"/>
      <c r="AL773" s="102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82">
        <f>IF(J773="SRO/Studio",O773,0)</f>
        <v>0</v>
      </c>
      <c r="CQ773" s="1483"/>
      <c r="CR773" s="1483"/>
      <c r="CS773" s="1483"/>
      <c r="CT773" s="1484"/>
      <c r="CU773" s="1486">
        <f>IF(J773="1 Bedroom",O773,0)</f>
        <v>0</v>
      </c>
      <c r="CV773" s="1486"/>
      <c r="CW773" s="1486"/>
      <c r="CX773" s="1486"/>
      <c r="CY773" s="1486"/>
      <c r="CZ773" s="1486">
        <f>IF(J773="2 Bedrooms",O773,0)</f>
        <v>1</v>
      </c>
      <c r="DA773" s="1486"/>
      <c r="DB773" s="1486"/>
      <c r="DC773" s="1486"/>
      <c r="DD773" s="1486"/>
      <c r="DE773" s="1486">
        <f>IF(J773="3 Bedrooms",O773,0)</f>
        <v>0</v>
      </c>
      <c r="DF773" s="1486"/>
      <c r="DG773" s="1486"/>
      <c r="DH773" s="1486"/>
      <c r="DI773" s="1486"/>
      <c r="DJ773" s="1486">
        <f>IF(J773="4 Bedrooms",O773,0)</f>
        <v>0</v>
      </c>
      <c r="DK773" s="1486"/>
      <c r="DL773" s="1486"/>
      <c r="DM773" s="1486"/>
      <c r="DN773" s="1486"/>
      <c r="DO773" s="1486">
        <f>IF(J773="5 Bedrooms",O773,0)</f>
        <v>0</v>
      </c>
      <c r="DP773" s="1486"/>
      <c r="DQ773" s="1486"/>
      <c r="DR773" s="1486"/>
      <c r="DS773" s="1486"/>
      <c r="DT773" s="6"/>
      <c r="DU773" s="3"/>
      <c r="DV773" s="3"/>
    </row>
    <row r="774" spans="1:126" ht="12.95" customHeight="1">
      <c r="J774" s="1350"/>
      <c r="K774" s="1351"/>
      <c r="L774" s="1351"/>
      <c r="M774" s="1351"/>
      <c r="N774" s="1352"/>
      <c r="O774" s="1630"/>
      <c r="P774" s="1630"/>
      <c r="Q774" s="1630"/>
      <c r="R774" s="1630"/>
      <c r="S774" s="1630"/>
      <c r="T774" s="1344"/>
      <c r="U774" s="1345"/>
      <c r="V774" s="1345"/>
      <c r="W774" s="1346"/>
      <c r="X774" s="1341"/>
      <c r="Y774" s="1342"/>
      <c r="Z774" s="1342"/>
      <c r="AA774" s="1342"/>
      <c r="AB774" s="1343"/>
      <c r="AC774" s="1357">
        <f>X774*O774</f>
        <v>0</v>
      </c>
      <c r="AD774" s="1358"/>
      <c r="AE774" s="1358"/>
      <c r="AF774" s="1358"/>
      <c r="AG774" s="1359"/>
      <c r="AH774" s="1020"/>
      <c r="AI774" s="1020"/>
      <c r="AJ774" s="1020"/>
      <c r="AK774" s="1020"/>
      <c r="AL774" s="102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82">
        <f>IF(J774="SRO/Studio",O774,0)</f>
        <v>0</v>
      </c>
      <c r="CQ774" s="1483"/>
      <c r="CR774" s="1483"/>
      <c r="CS774" s="1483"/>
      <c r="CT774" s="1484"/>
      <c r="CU774" s="1486">
        <f>IF(J774="1 Bedroom",O774,0)</f>
        <v>0</v>
      </c>
      <c r="CV774" s="1486"/>
      <c r="CW774" s="1486"/>
      <c r="CX774" s="1486"/>
      <c r="CY774" s="1486"/>
      <c r="CZ774" s="1486">
        <f>IF(J774="2 Bedrooms",O774,0)</f>
        <v>0</v>
      </c>
      <c r="DA774" s="1486"/>
      <c r="DB774" s="1486"/>
      <c r="DC774" s="1486"/>
      <c r="DD774" s="1486"/>
      <c r="DE774" s="1486">
        <f>IF(J774="3 Bedrooms",O774,0)</f>
        <v>0</v>
      </c>
      <c r="DF774" s="1486"/>
      <c r="DG774" s="1486"/>
      <c r="DH774" s="1486"/>
      <c r="DI774" s="1486"/>
      <c r="DJ774" s="1486">
        <f>IF(J774="4 Bedrooms",O774,0)</f>
        <v>0</v>
      </c>
      <c r="DK774" s="1486"/>
      <c r="DL774" s="1486"/>
      <c r="DM774" s="1486"/>
      <c r="DN774" s="1486"/>
      <c r="DO774" s="1486">
        <f>IF(J774="5 Bedrooms",O774,0)</f>
        <v>0</v>
      </c>
      <c r="DP774" s="1486"/>
      <c r="DQ774" s="1486"/>
      <c r="DR774" s="1486"/>
      <c r="DS774" s="1486"/>
      <c r="DT774" s="6"/>
      <c r="DU774" s="3"/>
      <c r="DV774" s="3"/>
    </row>
    <row r="775" spans="1:126" ht="12.95" customHeight="1">
      <c r="J775" s="1350"/>
      <c r="K775" s="1351"/>
      <c r="L775" s="1351"/>
      <c r="M775" s="1351"/>
      <c r="N775" s="1352"/>
      <c r="O775" s="1630"/>
      <c r="P775" s="1630"/>
      <c r="Q775" s="1630"/>
      <c r="R775" s="1630"/>
      <c r="S775" s="1630"/>
      <c r="T775" s="1344"/>
      <c r="U775" s="1345"/>
      <c r="V775" s="1345"/>
      <c r="W775" s="1346"/>
      <c r="X775" s="1341"/>
      <c r="Y775" s="1342"/>
      <c r="Z775" s="1342"/>
      <c r="AA775" s="1342"/>
      <c r="AB775" s="1343"/>
      <c r="AC775" s="1357">
        <f>X775*O775</f>
        <v>0</v>
      </c>
      <c r="AD775" s="1358"/>
      <c r="AE775" s="1358"/>
      <c r="AF775" s="1358"/>
      <c r="AG775" s="1359"/>
      <c r="AH775" s="1020"/>
      <c r="AI775" s="1020"/>
      <c r="AJ775" s="1020"/>
      <c r="AK775" s="1020"/>
      <c r="AL775" s="1020"/>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82">
        <f>IF(J775="SRO/Studio",O775,0)</f>
        <v>0</v>
      </c>
      <c r="CQ775" s="1483"/>
      <c r="CR775" s="1483"/>
      <c r="CS775" s="1483"/>
      <c r="CT775" s="1484"/>
      <c r="CU775" s="1486">
        <f>IF(J775="1 Bedroom",O775,0)</f>
        <v>0</v>
      </c>
      <c r="CV775" s="1486"/>
      <c r="CW775" s="1486"/>
      <c r="CX775" s="1486"/>
      <c r="CY775" s="1486"/>
      <c r="CZ775" s="1486">
        <f>IF(J775="2 Bedrooms",O775,0)</f>
        <v>0</v>
      </c>
      <c r="DA775" s="1486"/>
      <c r="DB775" s="1486"/>
      <c r="DC775" s="1486"/>
      <c r="DD775" s="1486"/>
      <c r="DE775" s="1486">
        <f>IF(J775="3 Bedrooms",O775,0)</f>
        <v>0</v>
      </c>
      <c r="DF775" s="1486"/>
      <c r="DG775" s="1486"/>
      <c r="DH775" s="1486"/>
      <c r="DI775" s="1486"/>
      <c r="DJ775" s="1486">
        <f>IF(J775="4 Bedrooms",O775,0)</f>
        <v>0</v>
      </c>
      <c r="DK775" s="1486"/>
      <c r="DL775" s="1486"/>
      <c r="DM775" s="1486"/>
      <c r="DN775" s="1486"/>
      <c r="DO775" s="1486">
        <f>IF(J775="5 Bedrooms",O775,0)</f>
        <v>0</v>
      </c>
      <c r="DP775" s="1486"/>
      <c r="DQ775" s="1486"/>
      <c r="DR775" s="1486"/>
      <c r="DS775" s="1486"/>
      <c r="DT775" s="1011"/>
    </row>
    <row r="776" spans="1:126" ht="12.95" customHeight="1">
      <c r="J776" s="1350"/>
      <c r="K776" s="1351"/>
      <c r="L776" s="1351"/>
      <c r="M776" s="1351"/>
      <c r="N776" s="1352"/>
      <c r="O776" s="1630"/>
      <c r="P776" s="1630"/>
      <c r="Q776" s="1630"/>
      <c r="R776" s="1630"/>
      <c r="S776" s="1630"/>
      <c r="T776" s="1344"/>
      <c r="U776" s="1345"/>
      <c r="V776" s="1345"/>
      <c r="W776" s="1346"/>
      <c r="X776" s="1341"/>
      <c r="Y776" s="1342"/>
      <c r="Z776" s="1342"/>
      <c r="AA776" s="1342"/>
      <c r="AB776" s="1343"/>
      <c r="AC776" s="1357">
        <f>X776*O776</f>
        <v>0</v>
      </c>
      <c r="AD776" s="1358"/>
      <c r="AE776" s="1358"/>
      <c r="AF776" s="1358"/>
      <c r="AG776" s="1359"/>
      <c r="AH776" s="1020"/>
      <c r="AI776" s="1020"/>
      <c r="AJ776" s="1020"/>
      <c r="AK776" s="1020"/>
      <c r="AL776" s="102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82">
        <f>IF(J776="SRO/Studio",O776,0)</f>
        <v>0</v>
      </c>
      <c r="CQ776" s="1483"/>
      <c r="CR776" s="1483"/>
      <c r="CS776" s="1483"/>
      <c r="CT776" s="1484"/>
      <c r="CU776" s="1486">
        <f>IF(J776="1 Bedroom",O776,0)</f>
        <v>0</v>
      </c>
      <c r="CV776" s="1486"/>
      <c r="CW776" s="1486"/>
      <c r="CX776" s="1486"/>
      <c r="CY776" s="1486"/>
      <c r="CZ776" s="1486">
        <f>IF(J776="2 Bedrooms",O776,0)</f>
        <v>0</v>
      </c>
      <c r="DA776" s="1486"/>
      <c r="DB776" s="1486"/>
      <c r="DC776" s="1486"/>
      <c r="DD776" s="1486"/>
      <c r="DE776" s="1486">
        <f>IF(J776="3 Bedrooms",O776,0)</f>
        <v>0</v>
      </c>
      <c r="DF776" s="1486"/>
      <c r="DG776" s="1486"/>
      <c r="DH776" s="1486"/>
      <c r="DI776" s="1486"/>
      <c r="DJ776" s="1486">
        <f>IF(J776="4 Bedrooms",O776,0)</f>
        <v>0</v>
      </c>
      <c r="DK776" s="1486"/>
      <c r="DL776" s="1486"/>
      <c r="DM776" s="1486"/>
      <c r="DN776" s="1486"/>
      <c r="DO776" s="1486">
        <f>IF(J776="5 Bedrooms",O776,0)</f>
        <v>0</v>
      </c>
      <c r="DP776" s="1486"/>
      <c r="DQ776" s="1486"/>
      <c r="DR776" s="1486"/>
      <c r="DS776" s="1486"/>
    </row>
    <row r="777" spans="1:126" ht="12.95" customHeight="1">
      <c r="J777" s="1464" t="s">
        <v>125</v>
      </c>
      <c r="K777" s="1465"/>
      <c r="L777" s="1465"/>
      <c r="M777" s="1465"/>
      <c r="N777" s="1466"/>
      <c r="O777" s="1488">
        <f>SUM(O773:S776)</f>
        <v>1</v>
      </c>
      <c r="P777" s="1493"/>
      <c r="Q777" s="1493"/>
      <c r="R777" s="1493"/>
      <c r="S777" s="1489"/>
      <c r="X777" s="1464" t="s">
        <v>124</v>
      </c>
      <c r="Y777" s="1465"/>
      <c r="Z777" s="1465"/>
      <c r="AA777" s="1465"/>
      <c r="AB777" s="1466"/>
      <c r="AC777" s="1357">
        <f>SUM(AC773:AG776)</f>
        <v>0</v>
      </c>
      <c r="AD777" s="1358"/>
      <c r="AE777" s="1358"/>
      <c r="AF777" s="1358"/>
      <c r="AG777" s="1359"/>
      <c r="AI777" s="1020"/>
      <c r="AJ777" s="102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88">
        <f>SUM(CP773:CT776)</f>
        <v>0</v>
      </c>
      <c r="CQ777" s="1493"/>
      <c r="CR777" s="1493"/>
      <c r="CS777" s="1493"/>
      <c r="CT777" s="1489"/>
      <c r="CU777" s="1494">
        <f>SUM(CU773:CY776)</f>
        <v>0</v>
      </c>
      <c r="CV777" s="1495"/>
      <c r="CW777" s="1495"/>
      <c r="CX777" s="1495"/>
      <c r="CY777" s="1496"/>
      <c r="CZ777" s="1494">
        <f>SUM(CZ773:DD776)</f>
        <v>1</v>
      </c>
      <c r="DA777" s="1495"/>
      <c r="DB777" s="1495"/>
      <c r="DC777" s="1495"/>
      <c r="DD777" s="1496"/>
      <c r="DE777" s="1494">
        <f>SUM(DE773:DI776)</f>
        <v>0</v>
      </c>
      <c r="DF777" s="1495"/>
      <c r="DG777" s="1495"/>
      <c r="DH777" s="1495"/>
      <c r="DI777" s="1496"/>
      <c r="DJ777" s="1494">
        <f>SUM(DJ773:DN776)</f>
        <v>0</v>
      </c>
      <c r="DK777" s="1495"/>
      <c r="DL777" s="1495"/>
      <c r="DM777" s="1495"/>
      <c r="DN777" s="1496"/>
      <c r="DO777" s="1494">
        <f>SUM(DO773:DS776)</f>
        <v>0</v>
      </c>
      <c r="DP777" s="1495"/>
      <c r="DQ777" s="1495"/>
      <c r="DR777" s="1495"/>
      <c r="DS777" s="1496"/>
      <c r="DU777" s="860">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0">
        <f>CP777*1</f>
        <v>0</v>
      </c>
      <c r="CU778" s="3"/>
      <c r="CV778" s="3"/>
      <c r="CW778" s="3"/>
      <c r="CX778" s="3"/>
      <c r="CY778" s="860">
        <f>CU777*1</f>
        <v>0</v>
      </c>
      <c r="CZ778" s="3"/>
      <c r="DA778" s="3"/>
      <c r="DB778" s="3"/>
      <c r="DC778" s="3"/>
      <c r="DD778" s="860">
        <f>CZ777*2</f>
        <v>2</v>
      </c>
      <c r="DE778" s="3"/>
      <c r="DF778" s="3"/>
      <c r="DG778" s="3"/>
      <c r="DH778" s="3"/>
      <c r="DI778" s="860">
        <f>DE777*3</f>
        <v>0</v>
      </c>
      <c r="DJ778" s="3"/>
      <c r="DK778" s="3"/>
      <c r="DL778" s="3"/>
      <c r="DM778" s="3"/>
      <c r="DN778" s="860">
        <f>DJ777*4</f>
        <v>0</v>
      </c>
      <c r="DO778" s="3"/>
      <c r="DP778" s="3"/>
      <c r="DQ778" s="3"/>
      <c r="DR778" s="3"/>
      <c r="DS778" s="860">
        <f>DO777*5</f>
        <v>0</v>
      </c>
      <c r="DU778" s="860">
        <f>CT778+CY778+DD778+DI778+DN778+DS778</f>
        <v>2</v>
      </c>
      <c r="DV778" s="57" t="s">
        <v>1863</v>
      </c>
    </row>
    <row r="779" spans="1:126" ht="12.95" customHeight="1">
      <c r="B779" s="56"/>
      <c r="C779" s="56"/>
      <c r="D779" s="56"/>
      <c r="E779" s="56"/>
      <c r="F779" s="56"/>
      <c r="G779" s="6"/>
      <c r="H779" s="6"/>
      <c r="I779" s="6"/>
      <c r="J779" s="1457" t="s">
        <v>670</v>
      </c>
      <c r="K779" s="1457"/>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1"/>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7" t="s">
        <v>389</v>
      </c>
      <c r="K783" s="1368"/>
      <c r="L783" s="1368"/>
      <c r="M783" s="1368"/>
      <c r="N783" s="1369"/>
      <c r="O783" s="1636" t="s">
        <v>285</v>
      </c>
      <c r="P783" s="1636"/>
      <c r="Q783" s="1636"/>
      <c r="R783" s="1636"/>
      <c r="S783" s="1636"/>
      <c r="T783" s="1707" t="s">
        <v>1680</v>
      </c>
      <c r="U783" s="1708"/>
      <c r="V783" s="1708"/>
      <c r="W783" s="1709"/>
      <c r="X783" s="1367" t="s">
        <v>448</v>
      </c>
      <c r="Y783" s="1368"/>
      <c r="Z783" s="1368"/>
      <c r="AA783" s="1368"/>
      <c r="AB783" s="1369"/>
      <c r="AC783" s="1367" t="s">
        <v>286</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70"/>
      <c r="K784" s="1371"/>
      <c r="L784" s="1371"/>
      <c r="M784" s="1371"/>
      <c r="N784" s="1372"/>
      <c r="O784" s="1636"/>
      <c r="P784" s="1636"/>
      <c r="Q784" s="1636"/>
      <c r="R784" s="1636"/>
      <c r="S784" s="1636"/>
      <c r="T784" s="1710"/>
      <c r="U784" s="1711"/>
      <c r="V784" s="1711"/>
      <c r="W784" s="1712"/>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70"/>
      <c r="K785" s="1371"/>
      <c r="L785" s="1371"/>
      <c r="M785" s="1371"/>
      <c r="N785" s="1372"/>
      <c r="O785" s="1636"/>
      <c r="P785" s="1636"/>
      <c r="Q785" s="1636"/>
      <c r="R785" s="1636"/>
      <c r="S785" s="1636"/>
      <c r="T785" s="1710"/>
      <c r="U785" s="1711"/>
      <c r="V785" s="1711"/>
      <c r="W785" s="1712"/>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3"/>
      <c r="K786" s="1374"/>
      <c r="L786" s="1374"/>
      <c r="M786" s="1374"/>
      <c r="N786" s="1375"/>
      <c r="O786" s="1636"/>
      <c r="P786" s="1636"/>
      <c r="Q786" s="1636"/>
      <c r="R786" s="1636"/>
      <c r="S786" s="1636"/>
      <c r="T786" s="1731"/>
      <c r="U786" s="1732"/>
      <c r="V786" s="1732"/>
      <c r="W786" s="1733"/>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0"/>
      <c r="K787" s="1351"/>
      <c r="L787" s="1351"/>
      <c r="M787" s="1351"/>
      <c r="N787" s="1352"/>
      <c r="O787" s="1630"/>
      <c r="P787" s="1630"/>
      <c r="Q787" s="1630"/>
      <c r="R787" s="1630"/>
      <c r="S787" s="1630"/>
      <c r="T787" s="1344"/>
      <c r="U787" s="1345"/>
      <c r="V787" s="1345"/>
      <c r="W787" s="1346"/>
      <c r="X787" s="1341"/>
      <c r="Y787" s="1342"/>
      <c r="Z787" s="1342"/>
      <c r="AA787" s="1342"/>
      <c r="AB787" s="1343"/>
      <c r="AC787" s="1357">
        <f t="shared" ref="AC787:AC796" si="40">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82">
        <f t="shared" ref="CP787:CP796" si="41">IF(J787="SRO/Studio",O787,0)</f>
        <v>0</v>
      </c>
      <c r="CQ787" s="1483"/>
      <c r="CR787" s="1483"/>
      <c r="CS787" s="1483"/>
      <c r="CT787" s="1484"/>
      <c r="CU787" s="1482">
        <f t="shared" ref="CU787:CU796" si="42">IF(J787="1 Bedroom",O787,0)</f>
        <v>0</v>
      </c>
      <c r="CV787" s="1483"/>
      <c r="CW787" s="1483"/>
      <c r="CX787" s="1483"/>
      <c r="CY787" s="1484"/>
      <c r="CZ787" s="1482">
        <f t="shared" ref="CZ787:CZ796" si="43">IF(J787="2 Bedrooms",O787,0)</f>
        <v>0</v>
      </c>
      <c r="DA787" s="1483"/>
      <c r="DB787" s="1483"/>
      <c r="DC787" s="1483"/>
      <c r="DD787" s="1484"/>
      <c r="DE787" s="1482">
        <f t="shared" ref="DE787:DE796" si="44">IF(J787="3 Bedrooms",O787,0)</f>
        <v>0</v>
      </c>
      <c r="DF787" s="1483"/>
      <c r="DG787" s="1483"/>
      <c r="DH787" s="1483"/>
      <c r="DI787" s="1484"/>
      <c r="DJ787" s="1482">
        <f t="shared" ref="DJ787:DJ796" si="45">IF(J787="4 Bedrooms",O787,0)</f>
        <v>0</v>
      </c>
      <c r="DK787" s="1483"/>
      <c r="DL787" s="1483"/>
      <c r="DM787" s="1483"/>
      <c r="DN787" s="1484"/>
      <c r="DO787" s="1482">
        <f t="shared" ref="DO787:DO796" si="46">IF(J787="5 Bedrooms",O787,0)</f>
        <v>0</v>
      </c>
      <c r="DP787" s="1483"/>
      <c r="DQ787" s="1483"/>
      <c r="DR787" s="1483"/>
      <c r="DS787" s="1484"/>
      <c r="DT787" s="6"/>
      <c r="DU787" s="1482">
        <f t="shared" ref="DU787:DU796" si="47">IF(AND(CP787&gt;=1,AH787&gt;=0.1,AH787&lt;=1),O787,0)</f>
        <v>0</v>
      </c>
      <c r="DV787" s="1483"/>
      <c r="DW787" s="1483"/>
      <c r="DX787" s="1483"/>
      <c r="DY787" s="1484"/>
      <c r="DZ787" s="1482">
        <f t="shared" ref="DZ787:DZ796" si="48">IF(AND(CU787&gt;=1,AH787&gt;=0.1,AH787&lt;=1),O787,0)</f>
        <v>0</v>
      </c>
      <c r="EA787" s="1483"/>
      <c r="EB787" s="1483"/>
      <c r="EC787" s="1483"/>
      <c r="ED787" s="1484"/>
      <c r="EE787" s="1482">
        <f t="shared" ref="EE787:EE796" si="49">IF(AND(CZ787&gt;=1,AH787&gt;=0.1,AH787&lt;=1),O787,0)</f>
        <v>0</v>
      </c>
      <c r="EF787" s="1483"/>
      <c r="EG787" s="1483"/>
      <c r="EH787" s="1483"/>
      <c r="EI787" s="1484"/>
      <c r="EJ787" s="1482">
        <f t="shared" ref="EJ787:EJ796" si="50">IF(AND(DE787&gt;=1,AH787&gt;=0.1,AH787&lt;=1),O787,0)</f>
        <v>0</v>
      </c>
      <c r="EK787" s="1483"/>
      <c r="EL787" s="1483"/>
      <c r="EM787" s="1483"/>
      <c r="EN787" s="1484"/>
      <c r="EO787" s="1482">
        <f t="shared" ref="EO787:EO796" si="51">IF(AND(DJ787&gt;=1,AH787&gt;=0.1,AH787&lt;=1),O787,0)</f>
        <v>0</v>
      </c>
      <c r="EP787" s="1483"/>
      <c r="EQ787" s="1483"/>
      <c r="ER787" s="1483"/>
      <c r="ES787" s="1484"/>
      <c r="ET787" s="1482">
        <f t="shared" ref="ET787:ET796" si="52">IF(AND(DO787&gt;=1,AH787&gt;=0.1,AH787&lt;=1),O787,0)</f>
        <v>0</v>
      </c>
      <c r="EU787" s="1483"/>
      <c r="EV787" s="1483"/>
      <c r="EW787" s="1483"/>
      <c r="EX787" s="1484"/>
    </row>
    <row r="788" spans="1:154" s="14" customFormat="1" ht="12.95" customHeight="1">
      <c r="A788"/>
      <c r="B788"/>
      <c r="C788"/>
      <c r="D788"/>
      <c r="E788"/>
      <c r="F788"/>
      <c r="G788"/>
      <c r="H788"/>
      <c r="I788"/>
      <c r="J788" s="1350"/>
      <c r="K788" s="1351"/>
      <c r="L788" s="1351"/>
      <c r="M788" s="1351"/>
      <c r="N788" s="1352"/>
      <c r="O788" s="1630"/>
      <c r="P788" s="1630"/>
      <c r="Q788" s="1630"/>
      <c r="R788" s="1630"/>
      <c r="S788" s="1630"/>
      <c r="T788" s="1344"/>
      <c r="U788" s="1345"/>
      <c r="V788" s="1345"/>
      <c r="W788" s="1346"/>
      <c r="X788" s="1341"/>
      <c r="Y788" s="1342"/>
      <c r="Z788" s="1342"/>
      <c r="AA788" s="1342"/>
      <c r="AB788" s="1343"/>
      <c r="AC788" s="1357">
        <f t="shared" si="40"/>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82">
        <f t="shared" si="41"/>
        <v>0</v>
      </c>
      <c r="CQ788" s="1483"/>
      <c r="CR788" s="1483"/>
      <c r="CS788" s="1483"/>
      <c r="CT788" s="1484"/>
      <c r="CU788" s="1482">
        <f t="shared" si="42"/>
        <v>0</v>
      </c>
      <c r="CV788" s="1483"/>
      <c r="CW788" s="1483"/>
      <c r="CX788" s="1483"/>
      <c r="CY788" s="1484"/>
      <c r="CZ788" s="1482">
        <f t="shared" si="43"/>
        <v>0</v>
      </c>
      <c r="DA788" s="1483"/>
      <c r="DB788" s="1483"/>
      <c r="DC788" s="1483"/>
      <c r="DD788" s="1484"/>
      <c r="DE788" s="1482">
        <f t="shared" si="44"/>
        <v>0</v>
      </c>
      <c r="DF788" s="1483"/>
      <c r="DG788" s="1483"/>
      <c r="DH788" s="1483"/>
      <c r="DI788" s="1484"/>
      <c r="DJ788" s="1482">
        <f t="shared" si="45"/>
        <v>0</v>
      </c>
      <c r="DK788" s="1483"/>
      <c r="DL788" s="1483"/>
      <c r="DM788" s="1483"/>
      <c r="DN788" s="1484"/>
      <c r="DO788" s="1482">
        <f t="shared" si="46"/>
        <v>0</v>
      </c>
      <c r="DP788" s="1483"/>
      <c r="DQ788" s="1483"/>
      <c r="DR788" s="1483"/>
      <c r="DS788" s="1484"/>
      <c r="DT788" s="6"/>
      <c r="DU788" s="1482">
        <f t="shared" si="47"/>
        <v>0</v>
      </c>
      <c r="DV788" s="1483"/>
      <c r="DW788" s="1483"/>
      <c r="DX788" s="1483"/>
      <c r="DY788" s="1484"/>
      <c r="DZ788" s="1482">
        <f t="shared" si="48"/>
        <v>0</v>
      </c>
      <c r="EA788" s="1483"/>
      <c r="EB788" s="1483"/>
      <c r="EC788" s="1483"/>
      <c r="ED788" s="1484"/>
      <c r="EE788" s="1482">
        <f t="shared" si="49"/>
        <v>0</v>
      </c>
      <c r="EF788" s="1483"/>
      <c r="EG788" s="1483"/>
      <c r="EH788" s="1483"/>
      <c r="EI788" s="1484"/>
      <c r="EJ788" s="1482">
        <f t="shared" si="50"/>
        <v>0</v>
      </c>
      <c r="EK788" s="1483"/>
      <c r="EL788" s="1483"/>
      <c r="EM788" s="1483"/>
      <c r="EN788" s="1484"/>
      <c r="EO788" s="1482">
        <f t="shared" si="51"/>
        <v>0</v>
      </c>
      <c r="EP788" s="1483"/>
      <c r="EQ788" s="1483"/>
      <c r="ER788" s="1483"/>
      <c r="ES788" s="1484"/>
      <c r="ET788" s="1482">
        <f t="shared" si="52"/>
        <v>0</v>
      </c>
      <c r="EU788" s="1483"/>
      <c r="EV788" s="1483"/>
      <c r="EW788" s="1483"/>
      <c r="EX788" s="1484"/>
    </row>
    <row r="789" spans="1:154" s="14" customFormat="1" ht="12.95" customHeight="1">
      <c r="A789"/>
      <c r="B789"/>
      <c r="C789"/>
      <c r="D789"/>
      <c r="E789"/>
      <c r="F789"/>
      <c r="G789"/>
      <c r="H789"/>
      <c r="I789"/>
      <c r="J789" s="1350"/>
      <c r="K789" s="1351"/>
      <c r="L789" s="1351"/>
      <c r="M789" s="1351"/>
      <c r="N789" s="1352"/>
      <c r="O789" s="1630"/>
      <c r="P789" s="1630"/>
      <c r="Q789" s="1630"/>
      <c r="R789" s="1630"/>
      <c r="S789" s="1630"/>
      <c r="T789" s="1344"/>
      <c r="U789" s="1345"/>
      <c r="V789" s="1345"/>
      <c r="W789" s="1346"/>
      <c r="X789" s="1341"/>
      <c r="Y789" s="1342"/>
      <c r="Z789" s="1342"/>
      <c r="AA789" s="1342"/>
      <c r="AB789" s="1343"/>
      <c r="AC789" s="1357">
        <f t="shared" si="40"/>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82">
        <f t="shared" si="41"/>
        <v>0</v>
      </c>
      <c r="CQ789" s="1483"/>
      <c r="CR789" s="1483"/>
      <c r="CS789" s="1483"/>
      <c r="CT789" s="1484"/>
      <c r="CU789" s="1482">
        <f t="shared" si="42"/>
        <v>0</v>
      </c>
      <c r="CV789" s="1483"/>
      <c r="CW789" s="1483"/>
      <c r="CX789" s="1483"/>
      <c r="CY789" s="1484"/>
      <c r="CZ789" s="1482">
        <f t="shared" si="43"/>
        <v>0</v>
      </c>
      <c r="DA789" s="1483"/>
      <c r="DB789" s="1483"/>
      <c r="DC789" s="1483"/>
      <c r="DD789" s="1484"/>
      <c r="DE789" s="1482">
        <f t="shared" si="44"/>
        <v>0</v>
      </c>
      <c r="DF789" s="1483"/>
      <c r="DG789" s="1483"/>
      <c r="DH789" s="1483"/>
      <c r="DI789" s="1484"/>
      <c r="DJ789" s="1482">
        <f t="shared" si="45"/>
        <v>0</v>
      </c>
      <c r="DK789" s="1483"/>
      <c r="DL789" s="1483"/>
      <c r="DM789" s="1483"/>
      <c r="DN789" s="1484"/>
      <c r="DO789" s="1482">
        <f t="shared" si="46"/>
        <v>0</v>
      </c>
      <c r="DP789" s="1483"/>
      <c r="DQ789" s="1483"/>
      <c r="DR789" s="1483"/>
      <c r="DS789" s="1484"/>
      <c r="DT789" s="6"/>
      <c r="DU789" s="1482">
        <f t="shared" si="47"/>
        <v>0</v>
      </c>
      <c r="DV789" s="1483"/>
      <c r="DW789" s="1483"/>
      <c r="DX789" s="1483"/>
      <c r="DY789" s="1484"/>
      <c r="DZ789" s="1482">
        <f t="shared" si="48"/>
        <v>0</v>
      </c>
      <c r="EA789" s="1483"/>
      <c r="EB789" s="1483"/>
      <c r="EC789" s="1483"/>
      <c r="ED789" s="1484"/>
      <c r="EE789" s="1482">
        <f t="shared" si="49"/>
        <v>0</v>
      </c>
      <c r="EF789" s="1483"/>
      <c r="EG789" s="1483"/>
      <c r="EH789" s="1483"/>
      <c r="EI789" s="1484"/>
      <c r="EJ789" s="1482">
        <f t="shared" si="50"/>
        <v>0</v>
      </c>
      <c r="EK789" s="1483"/>
      <c r="EL789" s="1483"/>
      <c r="EM789" s="1483"/>
      <c r="EN789" s="1484"/>
      <c r="EO789" s="1482">
        <f t="shared" si="51"/>
        <v>0</v>
      </c>
      <c r="EP789" s="1483"/>
      <c r="EQ789" s="1483"/>
      <c r="ER789" s="1483"/>
      <c r="ES789" s="1484"/>
      <c r="ET789" s="1482">
        <f t="shared" si="52"/>
        <v>0</v>
      </c>
      <c r="EU789" s="1483"/>
      <c r="EV789" s="1483"/>
      <c r="EW789" s="1483"/>
      <c r="EX789" s="1484"/>
    </row>
    <row r="790" spans="1:154" s="14" customFormat="1" ht="12.95" customHeight="1">
      <c r="A790"/>
      <c r="B790"/>
      <c r="C790"/>
      <c r="D790"/>
      <c r="E790"/>
      <c r="F790"/>
      <c r="G790"/>
      <c r="H790"/>
      <c r="I790"/>
      <c r="J790" s="1350"/>
      <c r="K790" s="1351"/>
      <c r="L790" s="1351"/>
      <c r="M790" s="1351"/>
      <c r="N790" s="1352"/>
      <c r="O790" s="1630"/>
      <c r="P790" s="1630"/>
      <c r="Q790" s="1630"/>
      <c r="R790" s="1630"/>
      <c r="S790" s="1630"/>
      <c r="T790" s="1344"/>
      <c r="U790" s="1345"/>
      <c r="V790" s="1345"/>
      <c r="W790" s="1346"/>
      <c r="X790" s="1341"/>
      <c r="Y790" s="1342"/>
      <c r="Z790" s="1342"/>
      <c r="AA790" s="1342"/>
      <c r="AB790" s="1343"/>
      <c r="AC790" s="1357">
        <f t="shared" si="40"/>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82">
        <f t="shared" si="41"/>
        <v>0</v>
      </c>
      <c r="CQ790" s="1483"/>
      <c r="CR790" s="1483"/>
      <c r="CS790" s="1483"/>
      <c r="CT790" s="1484"/>
      <c r="CU790" s="1482">
        <f t="shared" si="42"/>
        <v>0</v>
      </c>
      <c r="CV790" s="1483"/>
      <c r="CW790" s="1483"/>
      <c r="CX790" s="1483"/>
      <c r="CY790" s="1484"/>
      <c r="CZ790" s="1482">
        <f t="shared" si="43"/>
        <v>0</v>
      </c>
      <c r="DA790" s="1483"/>
      <c r="DB790" s="1483"/>
      <c r="DC790" s="1483"/>
      <c r="DD790" s="1484"/>
      <c r="DE790" s="1482">
        <f t="shared" si="44"/>
        <v>0</v>
      </c>
      <c r="DF790" s="1483"/>
      <c r="DG790" s="1483"/>
      <c r="DH790" s="1483"/>
      <c r="DI790" s="1484"/>
      <c r="DJ790" s="1482">
        <f t="shared" si="45"/>
        <v>0</v>
      </c>
      <c r="DK790" s="1483"/>
      <c r="DL790" s="1483"/>
      <c r="DM790" s="1483"/>
      <c r="DN790" s="1484"/>
      <c r="DO790" s="1482">
        <f t="shared" si="46"/>
        <v>0</v>
      </c>
      <c r="DP790" s="1483"/>
      <c r="DQ790" s="1483"/>
      <c r="DR790" s="1483"/>
      <c r="DS790" s="1484"/>
      <c r="DT790" s="6"/>
      <c r="DU790" s="1482">
        <f t="shared" si="47"/>
        <v>0</v>
      </c>
      <c r="DV790" s="1483"/>
      <c r="DW790" s="1483"/>
      <c r="DX790" s="1483"/>
      <c r="DY790" s="1484"/>
      <c r="DZ790" s="1482">
        <f t="shared" si="48"/>
        <v>0</v>
      </c>
      <c r="EA790" s="1483"/>
      <c r="EB790" s="1483"/>
      <c r="EC790" s="1483"/>
      <c r="ED790" s="1484"/>
      <c r="EE790" s="1482">
        <f t="shared" si="49"/>
        <v>0</v>
      </c>
      <c r="EF790" s="1483"/>
      <c r="EG790" s="1483"/>
      <c r="EH790" s="1483"/>
      <c r="EI790" s="1484"/>
      <c r="EJ790" s="1482">
        <f t="shared" si="50"/>
        <v>0</v>
      </c>
      <c r="EK790" s="1483"/>
      <c r="EL790" s="1483"/>
      <c r="EM790" s="1483"/>
      <c r="EN790" s="1484"/>
      <c r="EO790" s="1482">
        <f t="shared" si="51"/>
        <v>0</v>
      </c>
      <c r="EP790" s="1483"/>
      <c r="EQ790" s="1483"/>
      <c r="ER790" s="1483"/>
      <c r="ES790" s="1484"/>
      <c r="ET790" s="1482">
        <f t="shared" si="52"/>
        <v>0</v>
      </c>
      <c r="EU790" s="1483"/>
      <c r="EV790" s="1483"/>
      <c r="EW790" s="1483"/>
      <c r="EX790" s="1484"/>
    </row>
    <row r="791" spans="1:154" s="14" customFormat="1" ht="12.95" customHeight="1">
      <c r="A791"/>
      <c r="B791"/>
      <c r="C791"/>
      <c r="D791"/>
      <c r="E791"/>
      <c r="F791"/>
      <c r="G791"/>
      <c r="H791"/>
      <c r="I791"/>
      <c r="J791" s="1350"/>
      <c r="K791" s="1351"/>
      <c r="L791" s="1351"/>
      <c r="M791" s="1351"/>
      <c r="N791" s="1352"/>
      <c r="O791" s="1630"/>
      <c r="P791" s="1630"/>
      <c r="Q791" s="1630"/>
      <c r="R791" s="1630"/>
      <c r="S791" s="1630"/>
      <c r="T791" s="1344"/>
      <c r="U791" s="1345"/>
      <c r="V791" s="1345"/>
      <c r="W791" s="1346"/>
      <c r="X791" s="1341"/>
      <c r="Y791" s="1342"/>
      <c r="Z791" s="1342"/>
      <c r="AA791" s="1342"/>
      <c r="AB791" s="1343"/>
      <c r="AC791" s="1357">
        <f t="shared" si="40"/>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82">
        <f t="shared" si="41"/>
        <v>0</v>
      </c>
      <c r="CQ791" s="1483"/>
      <c r="CR791" s="1483"/>
      <c r="CS791" s="1483"/>
      <c r="CT791" s="1484"/>
      <c r="CU791" s="1482">
        <f t="shared" si="42"/>
        <v>0</v>
      </c>
      <c r="CV791" s="1483"/>
      <c r="CW791" s="1483"/>
      <c r="CX791" s="1483"/>
      <c r="CY791" s="1484"/>
      <c r="CZ791" s="1482">
        <f t="shared" si="43"/>
        <v>0</v>
      </c>
      <c r="DA791" s="1483"/>
      <c r="DB791" s="1483"/>
      <c r="DC791" s="1483"/>
      <c r="DD791" s="1484"/>
      <c r="DE791" s="1482">
        <f t="shared" si="44"/>
        <v>0</v>
      </c>
      <c r="DF791" s="1483"/>
      <c r="DG791" s="1483"/>
      <c r="DH791" s="1483"/>
      <c r="DI791" s="1484"/>
      <c r="DJ791" s="1482">
        <f t="shared" si="45"/>
        <v>0</v>
      </c>
      <c r="DK791" s="1483"/>
      <c r="DL791" s="1483"/>
      <c r="DM791" s="1483"/>
      <c r="DN791" s="1484"/>
      <c r="DO791" s="1482">
        <f t="shared" si="46"/>
        <v>0</v>
      </c>
      <c r="DP791" s="1483"/>
      <c r="DQ791" s="1483"/>
      <c r="DR791" s="1483"/>
      <c r="DS791" s="1484"/>
      <c r="DT791" s="6"/>
      <c r="DU791" s="1482">
        <f t="shared" si="47"/>
        <v>0</v>
      </c>
      <c r="DV791" s="1483"/>
      <c r="DW791" s="1483"/>
      <c r="DX791" s="1483"/>
      <c r="DY791" s="1484"/>
      <c r="DZ791" s="1482">
        <f t="shared" si="48"/>
        <v>0</v>
      </c>
      <c r="EA791" s="1483"/>
      <c r="EB791" s="1483"/>
      <c r="EC791" s="1483"/>
      <c r="ED791" s="1484"/>
      <c r="EE791" s="1482">
        <f t="shared" si="49"/>
        <v>0</v>
      </c>
      <c r="EF791" s="1483"/>
      <c r="EG791" s="1483"/>
      <c r="EH791" s="1483"/>
      <c r="EI791" s="1484"/>
      <c r="EJ791" s="1482">
        <f t="shared" si="50"/>
        <v>0</v>
      </c>
      <c r="EK791" s="1483"/>
      <c r="EL791" s="1483"/>
      <c r="EM791" s="1483"/>
      <c r="EN791" s="1484"/>
      <c r="EO791" s="1482">
        <f t="shared" si="51"/>
        <v>0</v>
      </c>
      <c r="EP791" s="1483"/>
      <c r="EQ791" s="1483"/>
      <c r="ER791" s="1483"/>
      <c r="ES791" s="1484"/>
      <c r="ET791" s="1482">
        <f t="shared" si="52"/>
        <v>0</v>
      </c>
      <c r="EU791" s="1483"/>
      <c r="EV791" s="1483"/>
      <c r="EW791" s="1483"/>
      <c r="EX791" s="1484"/>
    </row>
    <row r="792" spans="1:154" s="14" customFormat="1" ht="12.95" customHeight="1">
      <c r="A792"/>
      <c r="B792"/>
      <c r="C792"/>
      <c r="D792"/>
      <c r="E792"/>
      <c r="F792"/>
      <c r="G792"/>
      <c r="H792"/>
      <c r="I792"/>
      <c r="J792" s="1350"/>
      <c r="K792" s="1351"/>
      <c r="L792" s="1351"/>
      <c r="M792" s="1351"/>
      <c r="N792" s="1352"/>
      <c r="O792" s="1630"/>
      <c r="P792" s="1630"/>
      <c r="Q792" s="1630"/>
      <c r="R792" s="1630"/>
      <c r="S792" s="1630"/>
      <c r="T792" s="1344"/>
      <c r="U792" s="1345"/>
      <c r="V792" s="1345"/>
      <c r="W792" s="1346"/>
      <c r="X792" s="1341"/>
      <c r="Y792" s="1342"/>
      <c r="Z792" s="1342"/>
      <c r="AA792" s="1342"/>
      <c r="AB792" s="1343"/>
      <c r="AC792" s="1357">
        <f t="shared" si="40"/>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82">
        <f t="shared" si="41"/>
        <v>0</v>
      </c>
      <c r="CQ792" s="1483"/>
      <c r="CR792" s="1483"/>
      <c r="CS792" s="1483"/>
      <c r="CT792" s="1484"/>
      <c r="CU792" s="1482">
        <f t="shared" si="42"/>
        <v>0</v>
      </c>
      <c r="CV792" s="1483"/>
      <c r="CW792" s="1483"/>
      <c r="CX792" s="1483"/>
      <c r="CY792" s="1484"/>
      <c r="CZ792" s="1482">
        <f t="shared" si="43"/>
        <v>0</v>
      </c>
      <c r="DA792" s="1483"/>
      <c r="DB792" s="1483"/>
      <c r="DC792" s="1483"/>
      <c r="DD792" s="1484"/>
      <c r="DE792" s="1482">
        <f t="shared" si="44"/>
        <v>0</v>
      </c>
      <c r="DF792" s="1483"/>
      <c r="DG792" s="1483"/>
      <c r="DH792" s="1483"/>
      <c r="DI792" s="1484"/>
      <c r="DJ792" s="1482">
        <f t="shared" si="45"/>
        <v>0</v>
      </c>
      <c r="DK792" s="1483"/>
      <c r="DL792" s="1483"/>
      <c r="DM792" s="1483"/>
      <c r="DN792" s="1484"/>
      <c r="DO792" s="1482">
        <f t="shared" si="46"/>
        <v>0</v>
      </c>
      <c r="DP792" s="1483"/>
      <c r="DQ792" s="1483"/>
      <c r="DR792" s="1483"/>
      <c r="DS792" s="1484"/>
      <c r="DT792" s="6"/>
      <c r="DU792" s="1482">
        <f t="shared" si="47"/>
        <v>0</v>
      </c>
      <c r="DV792" s="1483"/>
      <c r="DW792" s="1483"/>
      <c r="DX792" s="1483"/>
      <c r="DY792" s="1484"/>
      <c r="DZ792" s="1482">
        <f t="shared" si="48"/>
        <v>0</v>
      </c>
      <c r="EA792" s="1483"/>
      <c r="EB792" s="1483"/>
      <c r="EC792" s="1483"/>
      <c r="ED792" s="1484"/>
      <c r="EE792" s="1482">
        <f t="shared" si="49"/>
        <v>0</v>
      </c>
      <c r="EF792" s="1483"/>
      <c r="EG792" s="1483"/>
      <c r="EH792" s="1483"/>
      <c r="EI792" s="1484"/>
      <c r="EJ792" s="1482">
        <f t="shared" si="50"/>
        <v>0</v>
      </c>
      <c r="EK792" s="1483"/>
      <c r="EL792" s="1483"/>
      <c r="EM792" s="1483"/>
      <c r="EN792" s="1484"/>
      <c r="EO792" s="1482">
        <f t="shared" si="51"/>
        <v>0</v>
      </c>
      <c r="EP792" s="1483"/>
      <c r="EQ792" s="1483"/>
      <c r="ER792" s="1483"/>
      <c r="ES792" s="1484"/>
      <c r="ET792" s="1482">
        <f t="shared" si="52"/>
        <v>0</v>
      </c>
      <c r="EU792" s="1483"/>
      <c r="EV792" s="1483"/>
      <c r="EW792" s="1483"/>
      <c r="EX792" s="1484"/>
    </row>
    <row r="793" spans="1:154" s="14" customFormat="1" ht="12.95" customHeight="1">
      <c r="A793"/>
      <c r="B793"/>
      <c r="C793"/>
      <c r="D793"/>
      <c r="E793"/>
      <c r="F793"/>
      <c r="G793"/>
      <c r="H793"/>
      <c r="I793"/>
      <c r="J793" s="1350"/>
      <c r="K793" s="1351"/>
      <c r="L793" s="1351"/>
      <c r="M793" s="1351"/>
      <c r="N793" s="1352"/>
      <c r="O793" s="1630"/>
      <c r="P793" s="1630"/>
      <c r="Q793" s="1630"/>
      <c r="R793" s="1630"/>
      <c r="S793" s="1630"/>
      <c r="T793" s="1344"/>
      <c r="U793" s="1345"/>
      <c r="V793" s="1345"/>
      <c r="W793" s="1346"/>
      <c r="X793" s="1341"/>
      <c r="Y793" s="1342"/>
      <c r="Z793" s="1342"/>
      <c r="AA793" s="1342"/>
      <c r="AB793" s="1343"/>
      <c r="AC793" s="1357">
        <f t="shared" si="40"/>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82">
        <f t="shared" si="41"/>
        <v>0</v>
      </c>
      <c r="CQ793" s="1483"/>
      <c r="CR793" s="1483"/>
      <c r="CS793" s="1483"/>
      <c r="CT793" s="1484"/>
      <c r="CU793" s="1482">
        <f t="shared" si="42"/>
        <v>0</v>
      </c>
      <c r="CV793" s="1483"/>
      <c r="CW793" s="1483"/>
      <c r="CX793" s="1483"/>
      <c r="CY793" s="1484"/>
      <c r="CZ793" s="1482">
        <f t="shared" si="43"/>
        <v>0</v>
      </c>
      <c r="DA793" s="1483"/>
      <c r="DB793" s="1483"/>
      <c r="DC793" s="1483"/>
      <c r="DD793" s="1484"/>
      <c r="DE793" s="1482">
        <f t="shared" si="44"/>
        <v>0</v>
      </c>
      <c r="DF793" s="1483"/>
      <c r="DG793" s="1483"/>
      <c r="DH793" s="1483"/>
      <c r="DI793" s="1484"/>
      <c r="DJ793" s="1482">
        <f t="shared" si="45"/>
        <v>0</v>
      </c>
      <c r="DK793" s="1483"/>
      <c r="DL793" s="1483"/>
      <c r="DM793" s="1483"/>
      <c r="DN793" s="1484"/>
      <c r="DO793" s="1482">
        <f t="shared" si="46"/>
        <v>0</v>
      </c>
      <c r="DP793" s="1483"/>
      <c r="DQ793" s="1483"/>
      <c r="DR793" s="1483"/>
      <c r="DS793" s="1484"/>
      <c r="DT793" s="6"/>
      <c r="DU793" s="1482">
        <f t="shared" si="47"/>
        <v>0</v>
      </c>
      <c r="DV793" s="1483"/>
      <c r="DW793" s="1483"/>
      <c r="DX793" s="1483"/>
      <c r="DY793" s="1484"/>
      <c r="DZ793" s="1482">
        <f t="shared" si="48"/>
        <v>0</v>
      </c>
      <c r="EA793" s="1483"/>
      <c r="EB793" s="1483"/>
      <c r="EC793" s="1483"/>
      <c r="ED793" s="1484"/>
      <c r="EE793" s="1482">
        <f t="shared" si="49"/>
        <v>0</v>
      </c>
      <c r="EF793" s="1483"/>
      <c r="EG793" s="1483"/>
      <c r="EH793" s="1483"/>
      <c r="EI793" s="1484"/>
      <c r="EJ793" s="1482">
        <f t="shared" si="50"/>
        <v>0</v>
      </c>
      <c r="EK793" s="1483"/>
      <c r="EL793" s="1483"/>
      <c r="EM793" s="1483"/>
      <c r="EN793" s="1484"/>
      <c r="EO793" s="1482">
        <f t="shared" si="51"/>
        <v>0</v>
      </c>
      <c r="EP793" s="1483"/>
      <c r="EQ793" s="1483"/>
      <c r="ER793" s="1483"/>
      <c r="ES793" s="1484"/>
      <c r="ET793" s="1482">
        <f t="shared" si="52"/>
        <v>0</v>
      </c>
      <c r="EU793" s="1483"/>
      <c r="EV793" s="1483"/>
      <c r="EW793" s="1483"/>
      <c r="EX793" s="1484"/>
    </row>
    <row r="794" spans="1:154" s="14" customFormat="1" ht="12.95" customHeight="1">
      <c r="A794"/>
      <c r="B794"/>
      <c r="C794"/>
      <c r="D794"/>
      <c r="E794"/>
      <c r="F794"/>
      <c r="G794"/>
      <c r="H794"/>
      <c r="I794"/>
      <c r="J794" s="1350"/>
      <c r="K794" s="1351"/>
      <c r="L794" s="1351"/>
      <c r="M794" s="1351"/>
      <c r="N794" s="1352"/>
      <c r="O794" s="1630"/>
      <c r="P794" s="1630"/>
      <c r="Q794" s="1630"/>
      <c r="R794" s="1630"/>
      <c r="S794" s="1630"/>
      <c r="T794" s="1344"/>
      <c r="U794" s="1345"/>
      <c r="V794" s="1345"/>
      <c r="W794" s="1346"/>
      <c r="X794" s="1341"/>
      <c r="Y794" s="1342"/>
      <c r="Z794" s="1342"/>
      <c r="AA794" s="1342"/>
      <c r="AB794" s="1343"/>
      <c r="AC794" s="1357">
        <f t="shared" si="40"/>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82">
        <f t="shared" si="41"/>
        <v>0</v>
      </c>
      <c r="CQ794" s="1483"/>
      <c r="CR794" s="1483"/>
      <c r="CS794" s="1483"/>
      <c r="CT794" s="1484"/>
      <c r="CU794" s="1482">
        <f t="shared" si="42"/>
        <v>0</v>
      </c>
      <c r="CV794" s="1483"/>
      <c r="CW794" s="1483"/>
      <c r="CX794" s="1483"/>
      <c r="CY794" s="1484"/>
      <c r="CZ794" s="1482">
        <f t="shared" si="43"/>
        <v>0</v>
      </c>
      <c r="DA794" s="1483"/>
      <c r="DB794" s="1483"/>
      <c r="DC794" s="1483"/>
      <c r="DD794" s="1484"/>
      <c r="DE794" s="1482">
        <f t="shared" si="44"/>
        <v>0</v>
      </c>
      <c r="DF794" s="1483"/>
      <c r="DG794" s="1483"/>
      <c r="DH794" s="1483"/>
      <c r="DI794" s="1484"/>
      <c r="DJ794" s="1482">
        <f t="shared" si="45"/>
        <v>0</v>
      </c>
      <c r="DK794" s="1483"/>
      <c r="DL794" s="1483"/>
      <c r="DM794" s="1483"/>
      <c r="DN794" s="1484"/>
      <c r="DO794" s="1482">
        <f t="shared" si="46"/>
        <v>0</v>
      </c>
      <c r="DP794" s="1483"/>
      <c r="DQ794" s="1483"/>
      <c r="DR794" s="1483"/>
      <c r="DS794" s="1484"/>
      <c r="DT794" s="6"/>
      <c r="DU794" s="1482">
        <f t="shared" si="47"/>
        <v>0</v>
      </c>
      <c r="DV794" s="1483"/>
      <c r="DW794" s="1483"/>
      <c r="DX794" s="1483"/>
      <c r="DY794" s="1484"/>
      <c r="DZ794" s="1482">
        <f t="shared" si="48"/>
        <v>0</v>
      </c>
      <c r="EA794" s="1483"/>
      <c r="EB794" s="1483"/>
      <c r="EC794" s="1483"/>
      <c r="ED794" s="1484"/>
      <c r="EE794" s="1482">
        <f t="shared" si="49"/>
        <v>0</v>
      </c>
      <c r="EF794" s="1483"/>
      <c r="EG794" s="1483"/>
      <c r="EH794" s="1483"/>
      <c r="EI794" s="1484"/>
      <c r="EJ794" s="1482">
        <f t="shared" si="50"/>
        <v>0</v>
      </c>
      <c r="EK794" s="1483"/>
      <c r="EL794" s="1483"/>
      <c r="EM794" s="1483"/>
      <c r="EN794" s="1484"/>
      <c r="EO794" s="1482">
        <f t="shared" si="51"/>
        <v>0</v>
      </c>
      <c r="EP794" s="1483"/>
      <c r="EQ794" s="1483"/>
      <c r="ER794" s="1483"/>
      <c r="ES794" s="1484"/>
      <c r="ET794" s="1482">
        <f t="shared" si="52"/>
        <v>0</v>
      </c>
      <c r="EU794" s="1483"/>
      <c r="EV794" s="1483"/>
      <c r="EW794" s="1483"/>
      <c r="EX794" s="1484"/>
    </row>
    <row r="795" spans="1:154" s="14" customFormat="1" ht="12.95" customHeight="1">
      <c r="A795"/>
      <c r="B795"/>
      <c r="C795"/>
      <c r="D795"/>
      <c r="E795"/>
      <c r="F795"/>
      <c r="G795"/>
      <c r="H795"/>
      <c r="I795"/>
      <c r="J795" s="1350"/>
      <c r="K795" s="1351"/>
      <c r="L795" s="1351"/>
      <c r="M795" s="1351"/>
      <c r="N795" s="1352"/>
      <c r="O795" s="1630"/>
      <c r="P795" s="1630"/>
      <c r="Q795" s="1630"/>
      <c r="R795" s="1630"/>
      <c r="S795" s="1630"/>
      <c r="T795" s="1344"/>
      <c r="U795" s="1345"/>
      <c r="V795" s="1345"/>
      <c r="W795" s="1346"/>
      <c r="X795" s="1341"/>
      <c r="Y795" s="1342"/>
      <c r="Z795" s="1342"/>
      <c r="AA795" s="1342"/>
      <c r="AB795" s="1343"/>
      <c r="AC795" s="1357">
        <f t="shared" si="40"/>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82">
        <f t="shared" si="41"/>
        <v>0</v>
      </c>
      <c r="CQ795" s="1483"/>
      <c r="CR795" s="1483"/>
      <c r="CS795" s="1483"/>
      <c r="CT795" s="1484"/>
      <c r="CU795" s="1482">
        <f t="shared" si="42"/>
        <v>0</v>
      </c>
      <c r="CV795" s="1483"/>
      <c r="CW795" s="1483"/>
      <c r="CX795" s="1483"/>
      <c r="CY795" s="1484"/>
      <c r="CZ795" s="1482">
        <f t="shared" si="43"/>
        <v>0</v>
      </c>
      <c r="DA795" s="1483"/>
      <c r="DB795" s="1483"/>
      <c r="DC795" s="1483"/>
      <c r="DD795" s="1484"/>
      <c r="DE795" s="1482">
        <f t="shared" si="44"/>
        <v>0</v>
      </c>
      <c r="DF795" s="1483"/>
      <c r="DG795" s="1483"/>
      <c r="DH795" s="1483"/>
      <c r="DI795" s="1484"/>
      <c r="DJ795" s="1482">
        <f t="shared" si="45"/>
        <v>0</v>
      </c>
      <c r="DK795" s="1483"/>
      <c r="DL795" s="1483"/>
      <c r="DM795" s="1483"/>
      <c r="DN795" s="1484"/>
      <c r="DO795" s="1482">
        <f t="shared" si="46"/>
        <v>0</v>
      </c>
      <c r="DP795" s="1483"/>
      <c r="DQ795" s="1483"/>
      <c r="DR795" s="1483"/>
      <c r="DS795" s="1484"/>
      <c r="DT795" s="6"/>
      <c r="DU795" s="1482">
        <f t="shared" si="47"/>
        <v>0</v>
      </c>
      <c r="DV795" s="1483"/>
      <c r="DW795" s="1483"/>
      <c r="DX795" s="1483"/>
      <c r="DY795" s="1484"/>
      <c r="DZ795" s="1482">
        <f t="shared" si="48"/>
        <v>0</v>
      </c>
      <c r="EA795" s="1483"/>
      <c r="EB795" s="1483"/>
      <c r="EC795" s="1483"/>
      <c r="ED795" s="1484"/>
      <c r="EE795" s="1482">
        <f t="shared" si="49"/>
        <v>0</v>
      </c>
      <c r="EF795" s="1483"/>
      <c r="EG795" s="1483"/>
      <c r="EH795" s="1483"/>
      <c r="EI795" s="1484"/>
      <c r="EJ795" s="1482">
        <f t="shared" si="50"/>
        <v>0</v>
      </c>
      <c r="EK795" s="1483"/>
      <c r="EL795" s="1483"/>
      <c r="EM795" s="1483"/>
      <c r="EN795" s="1484"/>
      <c r="EO795" s="1482">
        <f t="shared" si="51"/>
        <v>0</v>
      </c>
      <c r="EP795" s="1483"/>
      <c r="EQ795" s="1483"/>
      <c r="ER795" s="1483"/>
      <c r="ES795" s="1484"/>
      <c r="ET795" s="1482">
        <f t="shared" si="52"/>
        <v>0</v>
      </c>
      <c r="EU795" s="1483"/>
      <c r="EV795" s="1483"/>
      <c r="EW795" s="1483"/>
      <c r="EX795" s="1484"/>
    </row>
    <row r="796" spans="1:154" s="4" customFormat="1" ht="12.95" customHeight="1">
      <c r="A796"/>
      <c r="B796"/>
      <c r="C796"/>
      <c r="D796"/>
      <c r="E796"/>
      <c r="F796"/>
      <c r="G796"/>
      <c r="H796"/>
      <c r="I796"/>
      <c r="J796" s="1350"/>
      <c r="K796" s="1351"/>
      <c r="L796" s="1351"/>
      <c r="M796" s="1351"/>
      <c r="N796" s="1352"/>
      <c r="O796" s="1630"/>
      <c r="P796" s="1630"/>
      <c r="Q796" s="1630"/>
      <c r="R796" s="1630"/>
      <c r="S796" s="1630"/>
      <c r="T796" s="1344"/>
      <c r="U796" s="1345"/>
      <c r="V796" s="1345"/>
      <c r="W796" s="1346"/>
      <c r="X796" s="1341"/>
      <c r="Y796" s="1342"/>
      <c r="Z796" s="1342"/>
      <c r="AA796" s="1342"/>
      <c r="AB796" s="1343"/>
      <c r="AC796" s="1357">
        <f t="shared" si="40"/>
        <v>0</v>
      </c>
      <c r="AD796" s="1358"/>
      <c r="AE796" s="1358"/>
      <c r="AF796" s="1358"/>
      <c r="AG796" s="1359"/>
      <c r="AH796"/>
      <c r="AI796"/>
      <c r="AJ796"/>
      <c r="AK796"/>
      <c r="AL796"/>
      <c r="AM796"/>
      <c r="AN796"/>
      <c r="AO796"/>
      <c r="AP796"/>
      <c r="AQ796"/>
      <c r="AR796"/>
      <c r="AS796"/>
      <c r="AT796"/>
      <c r="AU796"/>
      <c r="AV796"/>
      <c r="AW796"/>
      <c r="AX796"/>
      <c r="AY796"/>
      <c r="AZ796" s="3"/>
      <c r="CP796" s="1482">
        <f t="shared" si="41"/>
        <v>0</v>
      </c>
      <c r="CQ796" s="1483"/>
      <c r="CR796" s="1483"/>
      <c r="CS796" s="1483"/>
      <c r="CT796" s="1484"/>
      <c r="CU796" s="1482">
        <f t="shared" si="42"/>
        <v>0</v>
      </c>
      <c r="CV796" s="1483"/>
      <c r="CW796" s="1483"/>
      <c r="CX796" s="1483"/>
      <c r="CY796" s="1484"/>
      <c r="CZ796" s="1482">
        <f t="shared" si="43"/>
        <v>0</v>
      </c>
      <c r="DA796" s="1483"/>
      <c r="DB796" s="1483"/>
      <c r="DC796" s="1483"/>
      <c r="DD796" s="1484"/>
      <c r="DE796" s="1482">
        <f t="shared" si="44"/>
        <v>0</v>
      </c>
      <c r="DF796" s="1483"/>
      <c r="DG796" s="1483"/>
      <c r="DH796" s="1483"/>
      <c r="DI796" s="1484"/>
      <c r="DJ796" s="1482">
        <f t="shared" si="45"/>
        <v>0</v>
      </c>
      <c r="DK796" s="1483"/>
      <c r="DL796" s="1483"/>
      <c r="DM796" s="1483"/>
      <c r="DN796" s="1484"/>
      <c r="DO796" s="1482">
        <f t="shared" si="46"/>
        <v>0</v>
      </c>
      <c r="DP796" s="1483"/>
      <c r="DQ796" s="1483"/>
      <c r="DR796" s="1483"/>
      <c r="DS796" s="1484"/>
      <c r="DT796" s="6"/>
      <c r="DU796" s="1482">
        <f t="shared" si="47"/>
        <v>0</v>
      </c>
      <c r="DV796" s="1483"/>
      <c r="DW796" s="1483"/>
      <c r="DX796" s="1483"/>
      <c r="DY796" s="1484"/>
      <c r="DZ796" s="1482">
        <f t="shared" si="48"/>
        <v>0</v>
      </c>
      <c r="EA796" s="1483"/>
      <c r="EB796" s="1483"/>
      <c r="EC796" s="1483"/>
      <c r="ED796" s="1484"/>
      <c r="EE796" s="1482">
        <f t="shared" si="49"/>
        <v>0</v>
      </c>
      <c r="EF796" s="1483"/>
      <c r="EG796" s="1483"/>
      <c r="EH796" s="1483"/>
      <c r="EI796" s="1484"/>
      <c r="EJ796" s="1482">
        <f t="shared" si="50"/>
        <v>0</v>
      </c>
      <c r="EK796" s="1483"/>
      <c r="EL796" s="1483"/>
      <c r="EM796" s="1483"/>
      <c r="EN796" s="1484"/>
      <c r="EO796" s="1482">
        <f t="shared" si="51"/>
        <v>0</v>
      </c>
      <c r="EP796" s="1483"/>
      <c r="EQ796" s="1483"/>
      <c r="ER796" s="1483"/>
      <c r="ES796" s="1484"/>
      <c r="ET796" s="1482">
        <f t="shared" si="52"/>
        <v>0</v>
      </c>
      <c r="EU796" s="1483"/>
      <c r="EV796" s="1483"/>
      <c r="EW796" s="1483"/>
      <c r="EX796" s="1484"/>
    </row>
    <row r="797" spans="1:154" s="4" customFormat="1" ht="12.95" customHeight="1">
      <c r="A797"/>
      <c r="B797"/>
      <c r="C797"/>
      <c r="D797"/>
      <c r="E797"/>
      <c r="F797"/>
      <c r="G797"/>
      <c r="H797"/>
      <c r="I797"/>
      <c r="J797" s="1464" t="s">
        <v>125</v>
      </c>
      <c r="K797" s="1465"/>
      <c r="L797" s="1465"/>
      <c r="M797" s="1465"/>
      <c r="N797" s="1466"/>
      <c r="O797" s="1735">
        <f>SUM(O787:S796)</f>
        <v>0</v>
      </c>
      <c r="P797" s="1735"/>
      <c r="Q797" s="1735"/>
      <c r="R797" s="1735"/>
      <c r="S797" s="1735"/>
      <c r="T797"/>
      <c r="U797"/>
      <c r="V797"/>
      <c r="W797"/>
      <c r="X797" s="901" t="s">
        <v>124</v>
      </c>
      <c r="Y797" s="11"/>
      <c r="Z797" s="11"/>
      <c r="AA797" s="11"/>
      <c r="AB797" s="908"/>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CP797" s="1488">
        <f>SUM(CP787:CT796)</f>
        <v>0</v>
      </c>
      <c r="CQ797" s="1493"/>
      <c r="CR797" s="1493"/>
      <c r="CS797" s="1493"/>
      <c r="CT797" s="1489"/>
      <c r="CU797" s="1494">
        <f>SUM(CU787:CY796)</f>
        <v>0</v>
      </c>
      <c r="CV797" s="1495"/>
      <c r="CW797" s="1495"/>
      <c r="CX797" s="1495"/>
      <c r="CY797" s="1496"/>
      <c r="CZ797" s="1494">
        <f>SUM(CZ787:DD796)</f>
        <v>0</v>
      </c>
      <c r="DA797" s="1495"/>
      <c r="DB797" s="1495"/>
      <c r="DC797" s="1495"/>
      <c r="DD797" s="1496"/>
      <c r="DE797" s="1494">
        <f>SUM(DE787:DI796)</f>
        <v>0</v>
      </c>
      <c r="DF797" s="1495"/>
      <c r="DG797" s="1495"/>
      <c r="DH797" s="1495"/>
      <c r="DI797" s="1496"/>
      <c r="DJ797" s="1494">
        <f>SUM(DJ787:DN796)</f>
        <v>0</v>
      </c>
      <c r="DK797" s="1495"/>
      <c r="DL797" s="1495"/>
      <c r="DM797" s="1495"/>
      <c r="DN797" s="1496"/>
      <c r="DO797" s="1494">
        <f>SUM(DO787:DS796)</f>
        <v>0</v>
      </c>
      <c r="DP797" s="1495"/>
      <c r="DQ797" s="1495"/>
      <c r="DR797" s="1495"/>
      <c r="DS797" s="1496"/>
      <c r="DT797" s="1011"/>
      <c r="DU797" s="1488">
        <f>SUM(DU787:DY796)</f>
        <v>0</v>
      </c>
      <c r="DV797" s="1493"/>
      <c r="DW797" s="1493"/>
      <c r="DX797" s="1493"/>
      <c r="DY797" s="1489"/>
      <c r="DZ797" s="1488">
        <f>SUM(DZ787:ED796)</f>
        <v>0</v>
      </c>
      <c r="EA797" s="1493"/>
      <c r="EB797" s="1493"/>
      <c r="EC797" s="1493"/>
      <c r="ED797" s="1489"/>
      <c r="EE797" s="1488">
        <f>SUM(EE787:EI796)</f>
        <v>0</v>
      </c>
      <c r="EF797" s="1493"/>
      <c r="EG797" s="1493"/>
      <c r="EH797" s="1493"/>
      <c r="EI797" s="1489"/>
      <c r="EJ797" s="1488">
        <f>SUM(EJ787:EN796)</f>
        <v>0</v>
      </c>
      <c r="EK797" s="1493"/>
      <c r="EL797" s="1493"/>
      <c r="EM797" s="1493"/>
      <c r="EN797" s="1489"/>
      <c r="EO797" s="1488">
        <f>SUM(EO787:ES796)</f>
        <v>0</v>
      </c>
      <c r="EP797" s="1493"/>
      <c r="EQ797" s="1493"/>
      <c r="ER797" s="1493"/>
      <c r="ES797" s="1489"/>
      <c r="ET797" s="1488">
        <f>SUM(ET787:EX796)</f>
        <v>0</v>
      </c>
      <c r="EU797" s="1493"/>
      <c r="EV797" s="1493"/>
      <c r="EW797" s="1493"/>
      <c r="EX797" s="1489"/>
    </row>
    <row r="798" spans="1:154" s="4" customFormat="1" ht="12.95" customHeight="1">
      <c r="A798"/>
      <c r="B798"/>
      <c r="C798" s="1738" t="str">
        <f>IF(O797&lt;&gt;AG438,"! Total market rate units in the Unit Mix Table above does not match the number of  market rate units on row #"&amp;TEXT(ROW(D438),"#"),"")</f>
        <v/>
      </c>
      <c r="D798" s="1738"/>
      <c r="E798" s="1738"/>
      <c r="F798" s="1738"/>
      <c r="G798" s="1738"/>
      <c r="H798" s="1738"/>
      <c r="I798" s="1738"/>
      <c r="J798" s="1738"/>
      <c r="K798" s="1738"/>
      <c r="L798" s="1738"/>
      <c r="M798" s="1738"/>
      <c r="N798" s="1738"/>
      <c r="O798" s="1738"/>
      <c r="P798" s="1738"/>
      <c r="Q798" s="1738"/>
      <c r="R798" s="1738"/>
      <c r="S798" s="1738"/>
      <c r="T798" s="1738"/>
      <c r="U798" s="1738"/>
      <c r="V798" s="1738"/>
      <c r="W798" s="1738"/>
      <c r="X798" s="1738"/>
      <c r="Y798" s="1738"/>
      <c r="Z798" s="1738"/>
      <c r="AA798" s="1738"/>
      <c r="AB798" s="1738"/>
      <c r="AC798" s="1738"/>
      <c r="AD798" s="1738"/>
      <c r="AE798" s="1738"/>
      <c r="AF798" s="1738"/>
      <c r="AG798" s="1738"/>
      <c r="AH798" s="1738"/>
      <c r="AI798" s="1738"/>
      <c r="AJ798" s="1738"/>
      <c r="AK798" s="1738"/>
      <c r="AL798" s="1738"/>
      <c r="AM798" s="1738"/>
      <c r="AN798" s="1738"/>
      <c r="AO798"/>
      <c r="AP798"/>
      <c r="AQ798"/>
      <c r="AR798"/>
      <c r="AS798"/>
      <c r="AT798"/>
      <c r="AU798"/>
      <c r="AV798"/>
      <c r="AW798"/>
      <c r="AX798"/>
      <c r="AY798"/>
      <c r="AZ798" s="30"/>
      <c r="BA798" s="30"/>
      <c r="CP798"/>
      <c r="CQ798"/>
      <c r="CR798"/>
      <c r="CS798"/>
      <c r="CT798" s="860">
        <f>CP797*1</f>
        <v>0</v>
      </c>
      <c r="CU798" s="3"/>
      <c r="CV798" s="3"/>
      <c r="CW798" s="3"/>
      <c r="CX798" s="3"/>
      <c r="CY798" s="860">
        <f>CU797*1</f>
        <v>0</v>
      </c>
      <c r="CZ798" s="3"/>
      <c r="DA798" s="3"/>
      <c r="DB798" s="3"/>
      <c r="DC798" s="3"/>
      <c r="DD798" s="860">
        <f>CZ797*2</f>
        <v>0</v>
      </c>
      <c r="DE798" s="3"/>
      <c r="DF798" s="3"/>
      <c r="DG798" s="3"/>
      <c r="DH798" s="3"/>
      <c r="DI798" s="860">
        <f>DE797*3</f>
        <v>0</v>
      </c>
      <c r="DJ798" s="3"/>
      <c r="DK798" s="3"/>
      <c r="DL798" s="3"/>
      <c r="DM798" s="3"/>
      <c r="DN798" s="860">
        <f>DJ797*4</f>
        <v>0</v>
      </c>
      <c r="DO798" s="3"/>
      <c r="DP798" s="3"/>
      <c r="DQ798" s="3"/>
      <c r="DR798" s="3"/>
      <c r="DS798" s="8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8"/>
      <c r="D799" s="1738"/>
      <c r="E799" s="1738"/>
      <c r="F799" s="1738"/>
      <c r="G799" s="1738"/>
      <c r="H799" s="1738"/>
      <c r="I799" s="1738"/>
      <c r="J799" s="1738"/>
      <c r="K799" s="1738"/>
      <c r="L799" s="1738"/>
      <c r="M799" s="1738"/>
      <c r="N799" s="1738"/>
      <c r="O799" s="1738"/>
      <c r="P799" s="1738"/>
      <c r="Q799" s="1738"/>
      <c r="R799" s="1738"/>
      <c r="S799" s="1738"/>
      <c r="T799" s="1738"/>
      <c r="U799" s="1738"/>
      <c r="V799" s="1738"/>
      <c r="W799" s="1738"/>
      <c r="X799" s="1738"/>
      <c r="Y799" s="1738"/>
      <c r="Z799" s="1738"/>
      <c r="AA799" s="1738"/>
      <c r="AB799" s="1738"/>
      <c r="AC799" s="1738"/>
      <c r="AD799" s="1738"/>
      <c r="AE799" s="1738"/>
      <c r="AF799" s="1738"/>
      <c r="AG799" s="1738"/>
      <c r="AH799" s="1738"/>
      <c r="AI799" s="1738"/>
      <c r="AJ799" s="1738"/>
      <c r="AK799" s="1738"/>
      <c r="AL799" s="1738"/>
      <c r="AM799" s="1738"/>
      <c r="AN799" s="1738"/>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0">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8">
        <f>SUM(DU797:EX797)</f>
        <v>0</v>
      </c>
      <c r="EU799" s="1869"/>
      <c r="EV799" s="1869"/>
      <c r="EW799" s="1869"/>
      <c r="EX799" s="187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4">
        <f>O753+AC777+AC797</f>
        <v>168043</v>
      </c>
      <c r="Z800" s="1714"/>
      <c r="AA800" s="1714"/>
      <c r="AB800" s="1714"/>
      <c r="AC800" s="1714"/>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0">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4">
        <f>(O753+AC777+AC797)*12</f>
        <v>2016516</v>
      </c>
      <c r="Z801" s="1714"/>
      <c r="AA801" s="1714"/>
      <c r="AB801" s="1714"/>
      <c r="AC801" s="1714"/>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94">
        <f>CP753+CP777+CP797</f>
        <v>120</v>
      </c>
      <c r="CQ802" s="1495"/>
      <c r="CR802" s="1495"/>
      <c r="CS802" s="1495"/>
      <c r="CT802" s="1496"/>
      <c r="CU802" s="1494">
        <f>CU753+CU777+CU797</f>
        <v>29</v>
      </c>
      <c r="CV802" s="1495"/>
      <c r="CW802" s="1495"/>
      <c r="CX802" s="1495"/>
      <c r="CY802" s="1496"/>
      <c r="CZ802" s="1494">
        <f>CZ753+CZ777+CZ797</f>
        <v>1</v>
      </c>
      <c r="DA802" s="1495"/>
      <c r="DB802" s="1495"/>
      <c r="DC802" s="1495"/>
      <c r="DD802" s="1496"/>
      <c r="DE802" s="1494">
        <f>DE753+DE777+DE797</f>
        <v>0</v>
      </c>
      <c r="DF802" s="1495"/>
      <c r="DG802" s="1495"/>
      <c r="DH802" s="1495"/>
      <c r="DI802" s="1496"/>
      <c r="DJ802" s="1494">
        <f>DJ753+DJ777+DJ797</f>
        <v>0</v>
      </c>
      <c r="DK802" s="1495"/>
      <c r="DL802" s="1495"/>
      <c r="DM802" s="1495"/>
      <c r="DN802" s="1496"/>
      <c r="DO802" s="1490">
        <f>DO797+DO777+DO753</f>
        <v>0</v>
      </c>
      <c r="DP802" s="1492"/>
      <c r="DQ802" s="1492"/>
      <c r="DR802" s="1492"/>
      <c r="DS802" s="1491"/>
      <c r="DT802" s="3"/>
      <c r="DU802" s="860">
        <f>DU755+DU800</f>
        <v>149</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77">
        <v>75</v>
      </c>
      <c r="AA806" s="1578"/>
      <c r="AB806" s="1578"/>
      <c r="AC806" s="1578"/>
      <c r="AD806" s="1578"/>
      <c r="AE806" s="157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7">
        <v>20</v>
      </c>
      <c r="AA807" s="1578"/>
      <c r="AB807" s="1578"/>
      <c r="AC807" s="1578"/>
      <c r="AD807" s="1578"/>
      <c r="AE807" s="157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4">
        <v>54082</v>
      </c>
      <c r="AA808" s="1552"/>
      <c r="AB808" s="1552"/>
      <c r="AC808" s="1552"/>
      <c r="AD808" s="1552"/>
      <c r="AE808" s="155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32">
        <f>'Subsidy Contract Calculation'!J40</f>
        <v>976320</v>
      </c>
      <c r="AA809" s="1633"/>
      <c r="AB809" s="1633"/>
      <c r="AC809" s="1633"/>
      <c r="AD809" s="1633"/>
      <c r="AE809" s="163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7">
        <v>27000</v>
      </c>
      <c r="AA813" s="1498"/>
      <c r="AB813" s="1498"/>
      <c r="AC813" s="1498"/>
      <c r="AD813" s="1498"/>
      <c r="AE813" s="149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7"/>
      <c r="AA814" s="1498"/>
      <c r="AB814" s="1498"/>
      <c r="AC814" s="1498"/>
      <c r="AD814" s="1498"/>
      <c r="AE814" s="149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7"/>
      <c r="AA815" s="1498"/>
      <c r="AB815" s="1498"/>
      <c r="AC815" s="1498"/>
      <c r="AD815" s="1498"/>
      <c r="AE815" s="149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10" t="s">
        <v>334</v>
      </c>
      <c r="Q816" s="1611"/>
      <c r="R816" s="1611"/>
      <c r="S816" s="1611"/>
      <c r="T816" s="1611"/>
      <c r="U816" s="1611"/>
      <c r="V816" s="1611"/>
      <c r="W816" s="1611"/>
      <c r="X816" s="1611"/>
      <c r="Y816" s="1612"/>
      <c r="Z816" s="1497"/>
      <c r="AA816" s="1498"/>
      <c r="AB816" s="1498"/>
      <c r="AC816" s="1498"/>
      <c r="AD816" s="1498"/>
      <c r="AE816" s="149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32">
        <f>SUM(Z813:AE816)</f>
        <v>27000</v>
      </c>
      <c r="AA817" s="1633"/>
      <c r="AB817" s="1633"/>
      <c r="AC817" s="1633"/>
      <c r="AD817" s="1633"/>
      <c r="AE817" s="163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32">
        <f>Z817+Y801+Z809</f>
        <v>3019836</v>
      </c>
      <c r="AA818" s="1633"/>
      <c r="AB818" s="1633"/>
      <c r="AC818" s="1633"/>
      <c r="AD818" s="1633"/>
      <c r="AE818" s="163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02" t="s">
        <v>126</v>
      </c>
      <c r="N823" s="1602"/>
      <c r="O823" s="1602"/>
      <c r="P823" s="1715"/>
      <c r="Q823" s="1631" t="s">
        <v>290</v>
      </c>
      <c r="R823" s="1631"/>
      <c r="S823" s="1631"/>
      <c r="T823" s="1631"/>
      <c r="U823" s="1631" t="s">
        <v>291</v>
      </c>
      <c r="V823" s="1631"/>
      <c r="W823" s="1631"/>
      <c r="X823" s="1631"/>
      <c r="Y823" s="1631" t="s">
        <v>292</v>
      </c>
      <c r="Z823" s="1631"/>
      <c r="AA823" s="1631"/>
      <c r="AB823" s="1631"/>
      <c r="AC823" s="1631" t="s">
        <v>361</v>
      </c>
      <c r="AD823" s="1631"/>
      <c r="AE823" s="1631"/>
      <c r="AF823" s="1631"/>
      <c r="AG823" s="1736" t="s">
        <v>335</v>
      </c>
      <c r="AH823" s="1736"/>
      <c r="AI823" s="1736"/>
      <c r="AJ823" s="1736"/>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06"/>
      <c r="N824" s="1606"/>
      <c r="O824" s="1606"/>
      <c r="P824" s="1617"/>
      <c r="Q824" s="1631"/>
      <c r="R824" s="1631"/>
      <c r="S824" s="1631"/>
      <c r="T824" s="1631"/>
      <c r="U824" s="1631"/>
      <c r="V824" s="1631"/>
      <c r="W824" s="1631"/>
      <c r="X824" s="1631"/>
      <c r="Y824" s="1631"/>
      <c r="Z824" s="1631"/>
      <c r="AA824" s="1631"/>
      <c r="AB824" s="1631"/>
      <c r="AC824" s="1631"/>
      <c r="AD824" s="1631"/>
      <c r="AE824" s="1631"/>
      <c r="AF824" s="1631"/>
      <c r="AG824" s="1736"/>
      <c r="AH824" s="1736"/>
      <c r="AI824" s="1736"/>
      <c r="AJ824" s="1736"/>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65" t="s">
        <v>40</v>
      </c>
      <c r="D825" s="1363"/>
      <c r="E825" s="1363"/>
      <c r="F825" s="1363"/>
      <c r="G825" s="1363"/>
      <c r="H825" s="1363"/>
      <c r="I825" s="48"/>
      <c r="J825" s="48"/>
      <c r="K825" s="48"/>
      <c r="L825" s="49"/>
      <c r="M825" s="1660">
        <v>18</v>
      </c>
      <c r="N825" s="1660"/>
      <c r="O825" s="1660"/>
      <c r="P825" s="1660"/>
      <c r="Q825" s="1660">
        <v>25</v>
      </c>
      <c r="R825" s="1660"/>
      <c r="S825" s="1660"/>
      <c r="T825" s="1660"/>
      <c r="U825" s="1660">
        <v>32</v>
      </c>
      <c r="V825" s="1660"/>
      <c r="W825" s="1660"/>
      <c r="X825" s="1660"/>
      <c r="Y825" s="1660"/>
      <c r="Z825" s="1660"/>
      <c r="AA825" s="1660"/>
      <c r="AB825" s="1660"/>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42" t="s">
        <v>41</v>
      </c>
      <c r="D826" s="1643"/>
      <c r="E826" s="1643"/>
      <c r="F826" s="1643"/>
      <c r="G826" s="1643"/>
      <c r="H826" s="1643"/>
      <c r="I826" s="5"/>
      <c r="J826" s="5"/>
      <c r="K826" s="5"/>
      <c r="L826" s="46"/>
      <c r="M826" s="1660"/>
      <c r="N826" s="1660"/>
      <c r="O826" s="1660"/>
      <c r="P826" s="1660"/>
      <c r="Q826" s="1660"/>
      <c r="R826" s="1660"/>
      <c r="S826" s="1660"/>
      <c r="T826" s="1660"/>
      <c r="U826" s="1660"/>
      <c r="V826" s="1660"/>
      <c r="W826" s="1660"/>
      <c r="X826" s="1660"/>
      <c r="Y826" s="1660"/>
      <c r="Z826" s="1660"/>
      <c r="AA826" s="1660"/>
      <c r="AB826" s="1660"/>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42" t="s">
        <v>42</v>
      </c>
      <c r="D827" s="1643"/>
      <c r="E827" s="1643"/>
      <c r="F827" s="1643"/>
      <c r="G827" s="1643"/>
      <c r="H827" s="1643"/>
      <c r="I827" s="60"/>
      <c r="J827" s="60"/>
      <c r="K827" s="60"/>
      <c r="L827" s="61"/>
      <c r="M827" s="1660">
        <v>9</v>
      </c>
      <c r="N827" s="1660"/>
      <c r="O827" s="1660"/>
      <c r="P827" s="1660"/>
      <c r="Q827" s="1660">
        <v>13</v>
      </c>
      <c r="R827" s="1660"/>
      <c r="S827" s="1660"/>
      <c r="T827" s="1660"/>
      <c r="U827" s="1660">
        <v>16</v>
      </c>
      <c r="V827" s="1660"/>
      <c r="W827" s="1660"/>
      <c r="X827" s="1660"/>
      <c r="Y827" s="1660"/>
      <c r="Z827" s="1660"/>
      <c r="AA827" s="1660"/>
      <c r="AB827" s="1660"/>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42" t="s">
        <v>763</v>
      </c>
      <c r="D828" s="1643"/>
      <c r="E828" s="1643"/>
      <c r="F828" s="1643"/>
      <c r="G828" s="1643"/>
      <c r="H828" s="1643"/>
      <c r="I828" s="60"/>
      <c r="J828" s="60"/>
      <c r="K828" s="60"/>
      <c r="L828" s="61"/>
      <c r="M828" s="1660"/>
      <c r="N828" s="1660"/>
      <c r="O828" s="1660"/>
      <c r="P828" s="1660"/>
      <c r="Q828" s="1660"/>
      <c r="R828" s="1660"/>
      <c r="S828" s="1660"/>
      <c r="T828" s="1660"/>
      <c r="U828" s="1660"/>
      <c r="V828" s="1660"/>
      <c r="W828" s="1660"/>
      <c r="X828" s="1660"/>
      <c r="Y828" s="1660"/>
      <c r="Z828" s="1660"/>
      <c r="AA828" s="1660"/>
      <c r="AB828" s="1660"/>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42" t="s">
        <v>460</v>
      </c>
      <c r="D829" s="1643"/>
      <c r="E829" s="1643"/>
      <c r="F829" s="1643"/>
      <c r="G829" s="1643"/>
      <c r="H829" s="1643"/>
      <c r="I829" s="60"/>
      <c r="J829" s="60"/>
      <c r="K829" s="60"/>
      <c r="L829" s="61"/>
      <c r="M829" s="1660">
        <v>34</v>
      </c>
      <c r="N829" s="1660"/>
      <c r="O829" s="1660"/>
      <c r="P829" s="1660"/>
      <c r="Q829" s="1660">
        <v>41</v>
      </c>
      <c r="R829" s="1660"/>
      <c r="S829" s="1660"/>
      <c r="T829" s="1660"/>
      <c r="U829" s="1660">
        <v>50</v>
      </c>
      <c r="V829" s="1660"/>
      <c r="W829" s="1660"/>
      <c r="X829" s="1660"/>
      <c r="Y829" s="1660"/>
      <c r="Z829" s="1660"/>
      <c r="AA829" s="1660"/>
      <c r="AB829" s="1660"/>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65" t="s">
        <v>784</v>
      </c>
      <c r="D830" s="1643"/>
      <c r="E830" s="1643"/>
      <c r="F830" s="1643"/>
      <c r="G830" s="1643"/>
      <c r="H830" s="1643"/>
      <c r="I830" s="60"/>
      <c r="J830" s="60"/>
      <c r="K830" s="60"/>
      <c r="L830" s="61"/>
      <c r="M830" s="1660"/>
      <c r="N830" s="1660"/>
      <c r="O830" s="1660"/>
      <c r="P830" s="1660"/>
      <c r="Q830" s="1660"/>
      <c r="R830" s="1660"/>
      <c r="S830" s="1660"/>
      <c r="T830" s="1660"/>
      <c r="U830" s="1660"/>
      <c r="V830" s="1660"/>
      <c r="W830" s="1660"/>
      <c r="X830" s="1660"/>
      <c r="Y830" s="1660"/>
      <c r="Z830" s="1660"/>
      <c r="AA830" s="1660"/>
      <c r="AB830" s="1660"/>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10" t="s">
        <v>2686</v>
      </c>
      <c r="G831" s="1611"/>
      <c r="H831" s="1611"/>
      <c r="I831" s="1611"/>
      <c r="J831" s="1611"/>
      <c r="K831" s="1611"/>
      <c r="L831" s="1611"/>
      <c r="M831" s="1660">
        <v>13</v>
      </c>
      <c r="N831" s="1660"/>
      <c r="O831" s="1660"/>
      <c r="P831" s="1660"/>
      <c r="Q831" s="1660">
        <v>18</v>
      </c>
      <c r="R831" s="1660"/>
      <c r="S831" s="1660"/>
      <c r="T831" s="1660"/>
      <c r="U831" s="1660">
        <v>24</v>
      </c>
      <c r="V831" s="1660"/>
      <c r="W831" s="1660"/>
      <c r="X831" s="1660"/>
      <c r="Y831" s="1660"/>
      <c r="Z831" s="1660"/>
      <c r="AA831" s="1660"/>
      <c r="AB831" s="1660"/>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64" t="s">
        <v>124</v>
      </c>
      <c r="D832" s="1465"/>
      <c r="E832" s="1465"/>
      <c r="F832" s="1465"/>
      <c r="G832" s="1465"/>
      <c r="H832" s="1465"/>
      <c r="I832" s="1465"/>
      <c r="J832" s="1465"/>
      <c r="K832" s="1465"/>
      <c r="L832" s="1466"/>
      <c r="M832" s="1653">
        <f>SUM(M825:P831)</f>
        <v>74</v>
      </c>
      <c r="N832" s="1653"/>
      <c r="O832" s="1653"/>
      <c r="P832" s="1653"/>
      <c r="Q832" s="1653">
        <f>SUM(Q825:T831)</f>
        <v>97</v>
      </c>
      <c r="R832" s="1653"/>
      <c r="S832" s="1653"/>
      <c r="T832" s="1653"/>
      <c r="U832" s="1653">
        <f>SUM(U825:X831)</f>
        <v>122</v>
      </c>
      <c r="V832" s="1653"/>
      <c r="W832" s="1653"/>
      <c r="X832" s="1653"/>
      <c r="Y832" s="1653">
        <f>SUM(Y825:AB831)</f>
        <v>0</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7" t="s">
        <v>2714</v>
      </c>
      <c r="D837" s="1718"/>
      <c r="E837" s="1718"/>
      <c r="F837" s="1718"/>
      <c r="G837" s="1718"/>
      <c r="H837" s="1718"/>
      <c r="I837" s="1718"/>
      <c r="J837" s="1718"/>
      <c r="K837" s="1718"/>
      <c r="L837" s="1718"/>
      <c r="M837" s="1718"/>
      <c r="N837" s="1718"/>
      <c r="O837" s="1718"/>
      <c r="P837" s="1718"/>
      <c r="Q837" s="1718"/>
      <c r="R837" s="1718"/>
      <c r="S837" s="1718"/>
      <c r="T837" s="1718"/>
      <c r="U837" s="1718"/>
      <c r="V837" s="1718"/>
      <c r="W837" s="1718"/>
      <c r="X837" s="1718"/>
      <c r="Y837" s="1718"/>
      <c r="Z837" s="1718"/>
      <c r="AA837" s="1718"/>
      <c r="AB837" s="1718"/>
      <c r="AC837" s="1718"/>
      <c r="AD837" s="1718"/>
      <c r="AE837" s="1718"/>
      <c r="AF837" s="1718"/>
      <c r="AG837" s="1718"/>
      <c r="AH837" s="1718"/>
      <c r="AI837" s="1718"/>
      <c r="AJ837" s="1719"/>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5"/>
      <c r="BJ841" s="1675"/>
      <c r="BK841" s="1675"/>
      <c r="BL841" s="1675"/>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74">
        <v>2700</v>
      </c>
      <c r="X842" s="1474"/>
      <c r="Y842" s="1474"/>
      <c r="Z842" s="1474"/>
      <c r="AA842" s="1474"/>
      <c r="AB842" s="1474"/>
      <c r="AC842" s="147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74">
        <v>5000</v>
      </c>
      <c r="X843" s="1474"/>
      <c r="Y843" s="1474"/>
      <c r="Z843" s="1474"/>
      <c r="AA843" s="1474"/>
      <c r="AB843" s="1474"/>
      <c r="AC843" s="147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74">
        <v>33570</v>
      </c>
      <c r="X844" s="1474"/>
      <c r="Y844" s="1474"/>
      <c r="Z844" s="1474"/>
      <c r="AA844" s="1474"/>
      <c r="AB844" s="1474"/>
      <c r="AC844" s="1474"/>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74">
        <v>75000</v>
      </c>
      <c r="X845" s="1474"/>
      <c r="Y845" s="1474"/>
      <c r="Z845" s="1474"/>
      <c r="AA845" s="1474"/>
      <c r="AB845" s="1474"/>
      <c r="AC845" s="1474"/>
      <c r="AZ845" s="30"/>
      <c r="BA845" s="30"/>
      <c r="BB845" s="14"/>
      <c r="BC845" s="14"/>
      <c r="BD845" s="14"/>
      <c r="BE845" s="14"/>
      <c r="BF845" s="14"/>
      <c r="BG845" s="14"/>
      <c r="BH845" s="14"/>
      <c r="BI845" s="14"/>
      <c r="BJ845" s="14"/>
      <c r="BK845" s="14"/>
      <c r="BL845" s="14"/>
    </row>
    <row r="846" spans="1:64" ht="12.95" customHeight="1">
      <c r="J846" s="45" t="s">
        <v>170</v>
      </c>
      <c r="K846" s="5"/>
      <c r="L846" s="5"/>
      <c r="M846" s="1610" t="s">
        <v>2732</v>
      </c>
      <c r="N846" s="1611"/>
      <c r="O846" s="1611"/>
      <c r="P846" s="1611"/>
      <c r="Q846" s="1611"/>
      <c r="R846" s="1611"/>
      <c r="S846" s="1611"/>
      <c r="T846" s="1611"/>
      <c r="U846" s="1611"/>
      <c r="V846" s="1612"/>
      <c r="W846" s="1474">
        <f>90000-W845-W844-W843-W842+75000</f>
        <v>48730</v>
      </c>
      <c r="X846" s="1474"/>
      <c r="Y846" s="1474"/>
      <c r="Z846" s="1474"/>
      <c r="AA846" s="1474"/>
      <c r="AB846" s="1474"/>
      <c r="AC846" s="147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32">
        <f>SUM(W842:W846)</f>
        <v>165000</v>
      </c>
      <c r="X847" s="1633"/>
      <c r="Y847" s="1633"/>
      <c r="Z847" s="1633"/>
      <c r="AA847" s="1633"/>
      <c r="AB847" s="1633"/>
      <c r="AC847" s="163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45"/>
      <c r="BH848" s="1645"/>
      <c r="BI848" s="1645"/>
      <c r="BJ848" s="1645"/>
      <c r="BK848" s="1645"/>
      <c r="BL848" s="1645"/>
    </row>
    <row r="849" spans="3:55" ht="12.95" customHeight="1">
      <c r="C849" s="2" t="s">
        <v>344</v>
      </c>
      <c r="J849" s="1464" t="s">
        <v>345</v>
      </c>
      <c r="K849" s="1465"/>
      <c r="L849" s="1465"/>
      <c r="M849" s="1465"/>
      <c r="N849" s="1465"/>
      <c r="O849" s="1465"/>
      <c r="P849" s="1465"/>
      <c r="Q849" s="1465"/>
      <c r="R849" s="1465"/>
      <c r="S849" s="1465"/>
      <c r="T849" s="1465"/>
      <c r="U849" s="1465"/>
      <c r="V849" s="1466"/>
      <c r="W849" s="1497">
        <f>75*149*12</f>
        <v>134100</v>
      </c>
      <c r="X849" s="1498"/>
      <c r="Y849" s="1498"/>
      <c r="Z849" s="1498"/>
      <c r="AA849" s="1498"/>
      <c r="AB849" s="1498"/>
      <c r="AC849" s="1499"/>
      <c r="AD849" s="532"/>
      <c r="AZ849" s="30"/>
      <c r="BA849" s="30"/>
      <c r="BB849" s="14"/>
      <c r="BC849" s="14"/>
    </row>
    <row r="850" spans="3:55" ht="12.95" customHeight="1">
      <c r="AD850" s="532"/>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64"/>
      <c r="X851" s="1664"/>
      <c r="Y851" s="1664"/>
      <c r="Z851" s="1664"/>
      <c r="AA851" s="1664"/>
      <c r="AB851" s="1664"/>
      <c r="AC851" s="1664"/>
      <c r="AZ851" s="1730"/>
      <c r="BA851" s="1730"/>
      <c r="BB851" s="14"/>
      <c r="BC851" s="14"/>
    </row>
    <row r="852" spans="3:55" ht="12.95" customHeight="1">
      <c r="J852" s="45" t="s">
        <v>351</v>
      </c>
      <c r="K852" s="5"/>
      <c r="L852" s="5"/>
      <c r="M852" s="5"/>
      <c r="N852" s="5"/>
      <c r="O852" s="5"/>
      <c r="P852" s="5"/>
      <c r="Q852" s="5"/>
      <c r="R852" s="5"/>
      <c r="S852" s="5"/>
      <c r="T852" s="5"/>
      <c r="U852" s="5"/>
      <c r="V852" s="46"/>
      <c r="W852" s="1664">
        <v>15000</v>
      </c>
      <c r="X852" s="1664"/>
      <c r="Y852" s="1664"/>
      <c r="Z852" s="1664"/>
      <c r="AA852" s="1664"/>
      <c r="AB852" s="1664"/>
      <c r="AC852" s="1664"/>
      <c r="AZ852" s="30"/>
      <c r="BA852" s="30"/>
      <c r="BB852" s="14"/>
      <c r="BC852" s="14"/>
    </row>
    <row r="853" spans="3:55" ht="12.95" customHeight="1">
      <c r="J853" s="45" t="s">
        <v>460</v>
      </c>
      <c r="K853" s="5"/>
      <c r="L853" s="5"/>
      <c r="M853" s="5"/>
      <c r="N853" s="5"/>
      <c r="O853" s="5"/>
      <c r="P853" s="5"/>
      <c r="Q853" s="5"/>
      <c r="R853" s="5"/>
      <c r="S853" s="5"/>
      <c r="T853" s="5"/>
      <c r="U853" s="5"/>
      <c r="V853" s="46"/>
      <c r="W853" s="1664">
        <v>115000</v>
      </c>
      <c r="X853" s="1664"/>
      <c r="Y853" s="1664"/>
      <c r="Z853" s="1664"/>
      <c r="AA853" s="1664"/>
      <c r="AB853" s="1664"/>
      <c r="AC853" s="1664"/>
      <c r="AZ853" s="30"/>
      <c r="BA853" s="30"/>
      <c r="BB853" s="14"/>
      <c r="BC853" s="14"/>
    </row>
    <row r="854" spans="3:55" ht="12.95" customHeight="1">
      <c r="J854" s="62" t="s">
        <v>621</v>
      </c>
      <c r="K854" s="5"/>
      <c r="L854" s="5"/>
      <c r="M854" s="5"/>
      <c r="N854" s="5"/>
      <c r="O854" s="5"/>
      <c r="P854" s="5"/>
      <c r="Q854" s="5"/>
      <c r="R854" s="5"/>
      <c r="S854" s="5"/>
      <c r="T854" s="5"/>
      <c r="U854" s="5"/>
      <c r="V854" s="46"/>
      <c r="W854" s="1664">
        <v>80000</v>
      </c>
      <c r="X854" s="1664"/>
      <c r="Y854" s="1664"/>
      <c r="Z854" s="1664"/>
      <c r="AA854" s="1664"/>
      <c r="AB854" s="1664"/>
      <c r="AC854" s="1664"/>
      <c r="AZ854" s="34"/>
      <c r="BA854" s="34"/>
      <c r="BB854" s="34"/>
      <c r="BC854" s="34"/>
    </row>
    <row r="855" spans="3:55" ht="12.95" customHeight="1">
      <c r="J855" s="63"/>
      <c r="K855" s="48"/>
      <c r="L855" s="48"/>
      <c r="M855" s="48"/>
      <c r="N855" s="48"/>
      <c r="O855" s="48"/>
      <c r="P855" s="48"/>
      <c r="Q855" s="48"/>
      <c r="R855" s="48"/>
      <c r="S855" s="48"/>
      <c r="T855" s="48"/>
      <c r="U855" s="48"/>
      <c r="V855" s="54" t="s">
        <v>272</v>
      </c>
      <c r="W855" s="1716">
        <f>SUM(W851:W854)</f>
        <v>210000</v>
      </c>
      <c r="X855" s="1716"/>
      <c r="Y855" s="1716"/>
      <c r="Z855" s="1716"/>
      <c r="AA855" s="1716"/>
      <c r="AB855" s="1716"/>
      <c r="AC855" s="1716"/>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7">
        <v>130000</v>
      </c>
      <c r="X857" s="1648"/>
      <c r="Y857" s="1648"/>
      <c r="Z857" s="1648"/>
      <c r="AA857" s="1648"/>
      <c r="AB857" s="1648"/>
      <c r="AC857" s="1649"/>
      <c r="AD857" s="527"/>
      <c r="AZ857" s="34"/>
      <c r="BA857" s="34"/>
      <c r="BB857" s="34"/>
      <c r="BC857" s="34"/>
    </row>
    <row r="858" spans="3:55" ht="12.95" customHeight="1">
      <c r="C858" s="2" t="s">
        <v>347</v>
      </c>
      <c r="J858" s="121" t="s">
        <v>1656</v>
      </c>
      <c r="K858" s="5"/>
      <c r="L858" s="5"/>
      <c r="M858" s="5"/>
      <c r="N858" s="5"/>
      <c r="O858" s="5"/>
      <c r="P858" s="5"/>
      <c r="Q858" s="5"/>
      <c r="R858" s="5"/>
      <c r="S858" s="5"/>
      <c r="T858" s="1720">
        <v>4</v>
      </c>
      <c r="U858" s="1703"/>
      <c r="V858" s="1721"/>
      <c r="W858" s="873"/>
      <c r="X858" s="874"/>
      <c r="Y858" s="874"/>
      <c r="Z858" s="874"/>
      <c r="AA858" s="874"/>
      <c r="AB858" s="874"/>
      <c r="AC858" s="875"/>
      <c r="AD858" s="527"/>
      <c r="AZ858" s="34"/>
      <c r="BA858" s="34"/>
      <c r="BB858" s="34"/>
      <c r="BC858" s="34"/>
    </row>
    <row r="859" spans="3:55" ht="12.95" customHeight="1">
      <c r="C859" s="2"/>
      <c r="J859" s="45" t="s">
        <v>619</v>
      </c>
      <c r="K859" s="5"/>
      <c r="L859" s="5"/>
      <c r="M859" s="5"/>
      <c r="N859" s="5"/>
      <c r="O859" s="5"/>
      <c r="P859" s="5"/>
      <c r="Q859" s="5"/>
      <c r="R859" s="5"/>
      <c r="S859" s="5"/>
      <c r="T859" s="5"/>
      <c r="U859" s="5"/>
      <c r="V859" s="46"/>
      <c r="W859" s="1647">
        <v>120000</v>
      </c>
      <c r="X859" s="1648"/>
      <c r="Y859" s="1648"/>
      <c r="Z859" s="1648"/>
      <c r="AA859" s="1648"/>
      <c r="AB859" s="1648"/>
      <c r="AC859" s="1649"/>
      <c r="AD859" s="532"/>
      <c r="AZ859" s="34"/>
      <c r="BA859" s="34"/>
      <c r="BB859" s="34"/>
      <c r="BC859" s="34"/>
    </row>
    <row r="860" spans="3:55" ht="12.95" customHeight="1">
      <c r="C860" s="2"/>
      <c r="J860" s="121" t="s">
        <v>1657</v>
      </c>
      <c r="K860" s="5"/>
      <c r="L860" s="5"/>
      <c r="M860" s="5"/>
      <c r="N860" s="5"/>
      <c r="O860" s="5"/>
      <c r="P860" s="5"/>
      <c r="Q860" s="5"/>
      <c r="R860" s="5"/>
      <c r="S860" s="5"/>
      <c r="T860" s="1720">
        <v>1</v>
      </c>
      <c r="U860" s="1703"/>
      <c r="V860" s="1721"/>
      <c r="W860" s="873"/>
      <c r="X860" s="874"/>
      <c r="Y860" s="874"/>
      <c r="Z860" s="874"/>
      <c r="AA860" s="874"/>
      <c r="AB860" s="874"/>
      <c r="AC860" s="875"/>
      <c r="AD860" s="532"/>
      <c r="AZ860" s="34"/>
      <c r="BA860" s="34"/>
      <c r="BB860" s="34"/>
      <c r="BC860" s="34"/>
    </row>
    <row r="861" spans="3:55" ht="12.95" customHeight="1">
      <c r="J861" s="45" t="s">
        <v>170</v>
      </c>
      <c r="K861" s="5"/>
      <c r="L861" s="5"/>
      <c r="M861" s="1610" t="s">
        <v>2733</v>
      </c>
      <c r="N861" s="1611"/>
      <c r="O861" s="1611"/>
      <c r="P861" s="1611"/>
      <c r="Q861" s="1611"/>
      <c r="R861" s="1611"/>
      <c r="S861" s="1611"/>
      <c r="T861" s="1611"/>
      <c r="U861" s="1611"/>
      <c r="V861" s="1612"/>
      <c r="W861" s="1647">
        <f>350000-W859-W857</f>
        <v>100000</v>
      </c>
      <c r="X861" s="1648"/>
      <c r="Y861" s="1648"/>
      <c r="Z861" s="1648"/>
      <c r="AA861" s="1648"/>
      <c r="AB861" s="1648"/>
      <c r="AC861" s="1649"/>
      <c r="AD861" s="527"/>
      <c r="AU861" s="14"/>
      <c r="AZ861" s="34"/>
      <c r="BA861" s="34"/>
      <c r="BB861" s="34"/>
      <c r="BC861" s="34"/>
    </row>
    <row r="862" spans="3:55" ht="12.95" customHeight="1">
      <c r="J862" s="45"/>
      <c r="K862" s="5"/>
      <c r="L862" s="5"/>
      <c r="M862" s="5"/>
      <c r="N862" s="5"/>
      <c r="O862" s="5"/>
      <c r="P862" s="5"/>
      <c r="Q862" s="5"/>
      <c r="R862" s="5"/>
      <c r="S862" s="5"/>
      <c r="T862" s="5"/>
      <c r="U862" s="5"/>
      <c r="V862" s="54" t="s">
        <v>273</v>
      </c>
      <c r="W862" s="1722">
        <f>SUM(W857:W861)</f>
        <v>350000</v>
      </c>
      <c r="X862" s="1723"/>
      <c r="Y862" s="1723"/>
      <c r="Z862" s="1723"/>
      <c r="AA862" s="1723"/>
      <c r="AB862" s="1723"/>
      <c r="AC862" s="1724"/>
      <c r="AD862" s="532"/>
      <c r="AU862" s="14"/>
      <c r="AZ862" s="34"/>
      <c r="BA862" s="34"/>
      <c r="BB862" s="34"/>
      <c r="BC862" s="34"/>
    </row>
    <row r="863" spans="3:55" ht="12.95" customHeight="1">
      <c r="J863" s="45"/>
      <c r="K863" s="5"/>
      <c r="L863" s="5"/>
      <c r="M863" s="5"/>
      <c r="N863" s="5"/>
      <c r="O863" s="5"/>
      <c r="P863" s="5"/>
      <c r="Q863" s="5"/>
      <c r="R863" s="5"/>
      <c r="S863" s="5"/>
      <c r="T863" s="5"/>
      <c r="U863" s="5"/>
      <c r="V863" s="54" t="s">
        <v>274</v>
      </c>
      <c r="W863" s="1647">
        <v>262500</v>
      </c>
      <c r="X863" s="1648"/>
      <c r="Y863" s="1648"/>
      <c r="Z863" s="1648"/>
      <c r="AA863" s="1648"/>
      <c r="AB863" s="1648"/>
      <c r="AC863" s="1649"/>
      <c r="AU863" s="14"/>
      <c r="AZ863" s="34"/>
      <c r="BA863" s="34"/>
      <c r="BB863" s="34"/>
      <c r="BC863" s="34"/>
    </row>
    <row r="864" spans="3:55" ht="12.95" customHeight="1">
      <c r="J864" s="511"/>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74">
        <v>10000</v>
      </c>
      <c r="X865" s="1474"/>
      <c r="Y865" s="1474"/>
      <c r="Z865" s="1474"/>
      <c r="AA865" s="1474"/>
      <c r="AB865" s="1474"/>
      <c r="AC865" s="1474"/>
      <c r="AU865" s="14"/>
      <c r="AZ865" s="34"/>
      <c r="BA865" s="34"/>
      <c r="BB865" s="34"/>
      <c r="BC865" s="34"/>
    </row>
    <row r="866" spans="3:55" ht="12.95" customHeight="1">
      <c r="J866" s="45" t="s">
        <v>523</v>
      </c>
      <c r="K866" s="5"/>
      <c r="L866" s="5"/>
      <c r="M866" s="5"/>
      <c r="N866" s="5"/>
      <c r="O866" s="5"/>
      <c r="P866" s="5"/>
      <c r="Q866" s="5"/>
      <c r="R866" s="5"/>
      <c r="S866" s="5"/>
      <c r="T866" s="5"/>
      <c r="U866" s="5"/>
      <c r="V866" s="46"/>
      <c r="W866" s="1474">
        <v>65000</v>
      </c>
      <c r="X866" s="1474"/>
      <c r="Y866" s="1474"/>
      <c r="Z866" s="1474"/>
      <c r="AA866" s="1474"/>
      <c r="AB866" s="1474"/>
      <c r="AC866" s="1474"/>
      <c r="AU866" s="4"/>
      <c r="AZ866" s="34"/>
      <c r="BA866" s="34"/>
      <c r="BB866" s="34"/>
      <c r="BC866" s="34"/>
    </row>
    <row r="867" spans="3:55" ht="12.95" customHeight="1">
      <c r="J867" s="45" t="s">
        <v>522</v>
      </c>
      <c r="K867" s="5"/>
      <c r="L867" s="5"/>
      <c r="M867" s="5"/>
      <c r="N867" s="5"/>
      <c r="O867" s="5"/>
      <c r="P867" s="5"/>
      <c r="Q867" s="5"/>
      <c r="R867" s="5"/>
      <c r="S867" s="5"/>
      <c r="T867" s="5"/>
      <c r="U867" s="5"/>
      <c r="V867" s="46"/>
      <c r="W867" s="1474">
        <v>25000</v>
      </c>
      <c r="X867" s="1474"/>
      <c r="Y867" s="1474"/>
      <c r="Z867" s="1474"/>
      <c r="AA867" s="1474"/>
      <c r="AB867" s="1474"/>
      <c r="AC867" s="1474"/>
      <c r="AU867" s="4"/>
      <c r="AZ867" s="34"/>
      <c r="BA867" s="34"/>
      <c r="BB867" s="34"/>
      <c r="BC867" s="34"/>
    </row>
    <row r="868" spans="3:55" ht="12.95" customHeight="1">
      <c r="J868" s="45" t="s">
        <v>521</v>
      </c>
      <c r="K868" s="5"/>
      <c r="L868" s="5"/>
      <c r="M868" s="5"/>
      <c r="N868" s="5"/>
      <c r="O868" s="5"/>
      <c r="P868" s="5"/>
      <c r="Q868" s="5"/>
      <c r="R868" s="5"/>
      <c r="S868" s="5"/>
      <c r="T868" s="5"/>
      <c r="U868" s="5"/>
      <c r="V868" s="46"/>
      <c r="W868" s="1474">
        <v>15000</v>
      </c>
      <c r="X868" s="1474"/>
      <c r="Y868" s="1474"/>
      <c r="Z868" s="1474"/>
      <c r="AA868" s="1474"/>
      <c r="AB868" s="1474"/>
      <c r="AC868" s="1474"/>
      <c r="AU868" s="4"/>
      <c r="AZ868" s="34"/>
      <c r="BA868" s="34"/>
      <c r="BB868" s="34"/>
      <c r="BC868" s="34"/>
    </row>
    <row r="869" spans="3:55" ht="12.95" customHeight="1">
      <c r="J869" s="45" t="s">
        <v>520</v>
      </c>
      <c r="K869" s="5"/>
      <c r="L869" s="5"/>
      <c r="M869" s="5"/>
      <c r="N869" s="5"/>
      <c r="O869" s="5"/>
      <c r="P869" s="5"/>
      <c r="Q869" s="5"/>
      <c r="R869" s="5"/>
      <c r="S869" s="5"/>
      <c r="T869" s="5"/>
      <c r="U869" s="5"/>
      <c r="V869" s="46"/>
      <c r="W869" s="1474">
        <v>20000</v>
      </c>
      <c r="X869" s="1474"/>
      <c r="Y869" s="1474"/>
      <c r="Z869" s="1474"/>
      <c r="AA869" s="1474"/>
      <c r="AB869" s="1474"/>
      <c r="AC869" s="1474"/>
      <c r="AU869" s="4"/>
      <c r="AZ869" s="34"/>
      <c r="BA869" s="34"/>
      <c r="BB869" s="34"/>
      <c r="BC869" s="34"/>
    </row>
    <row r="870" spans="3:55" ht="12.95" customHeight="1">
      <c r="J870" s="45" t="s">
        <v>519</v>
      </c>
      <c r="K870" s="5"/>
      <c r="L870" s="5"/>
      <c r="M870" s="5"/>
      <c r="N870" s="5"/>
      <c r="O870" s="5"/>
      <c r="P870" s="5"/>
      <c r="Q870" s="5"/>
      <c r="R870" s="5"/>
      <c r="S870" s="5"/>
      <c r="T870" s="5"/>
      <c r="U870" s="5"/>
      <c r="V870" s="46"/>
      <c r="W870" s="1474">
        <v>10000</v>
      </c>
      <c r="X870" s="1474"/>
      <c r="Y870" s="1474"/>
      <c r="Z870" s="1474"/>
      <c r="AA870" s="1474"/>
      <c r="AB870" s="1474"/>
      <c r="AC870" s="1474"/>
      <c r="AU870" s="4"/>
      <c r="AZ870" s="34"/>
      <c r="BA870" s="34"/>
      <c r="BB870" s="34"/>
      <c r="BC870" s="34"/>
    </row>
    <row r="871" spans="3:55" ht="12.95" customHeight="1">
      <c r="J871" s="45" t="s">
        <v>170</v>
      </c>
      <c r="K871" s="5"/>
      <c r="L871" s="5"/>
      <c r="M871" s="1610" t="s">
        <v>2734</v>
      </c>
      <c r="N871" s="1611"/>
      <c r="O871" s="1611"/>
      <c r="P871" s="1611"/>
      <c r="Q871" s="1611"/>
      <c r="R871" s="1611"/>
      <c r="S871" s="1611"/>
      <c r="T871" s="1611"/>
      <c r="U871" s="1611"/>
      <c r="V871" s="1612"/>
      <c r="W871" s="1474">
        <f>325000-SUM(W865:AC870)-W874-75000</f>
        <v>105000</v>
      </c>
      <c r="X871" s="1474"/>
      <c r="Y871" s="1474"/>
      <c r="Z871" s="1474"/>
      <c r="AA871" s="1474"/>
      <c r="AB871" s="1474"/>
      <c r="AC871" s="1474"/>
      <c r="AD871" s="532"/>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14">
        <f>SUM(W865:W871)</f>
        <v>250000</v>
      </c>
      <c r="X872" s="1714"/>
      <c r="Y872" s="1714"/>
      <c r="Z872" s="1714"/>
      <c r="AA872" s="1714"/>
      <c r="AB872" s="1714"/>
      <c r="AC872" s="1714"/>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10" t="s">
        <v>334</v>
      </c>
      <c r="N874" s="1611"/>
      <c r="O874" s="1611"/>
      <c r="P874" s="1611"/>
      <c r="Q874" s="1611"/>
      <c r="R874" s="1611"/>
      <c r="S874" s="1611"/>
      <c r="T874" s="1611"/>
      <c r="U874" s="1611"/>
      <c r="V874" s="1612"/>
      <c r="W874" s="1497"/>
      <c r="X874" s="1498"/>
      <c r="Y874" s="1498"/>
      <c r="Z874" s="1498"/>
      <c r="AA874" s="1498"/>
      <c r="AB874" s="1498"/>
      <c r="AC874" s="1499"/>
      <c r="AD874" s="532"/>
      <c r="AV874" s="14"/>
      <c r="AW874" s="14"/>
      <c r="AX874" s="14"/>
      <c r="AY874" s="14"/>
      <c r="AZ874" s="34"/>
      <c r="BA874" s="34"/>
      <c r="BB874" s="34"/>
      <c r="BC874" s="34"/>
    </row>
    <row r="875" spans="3:55" ht="12.95" customHeight="1">
      <c r="C875" s="2" t="s">
        <v>1245</v>
      </c>
      <c r="J875" s="45" t="s">
        <v>170</v>
      </c>
      <c r="K875" s="5"/>
      <c r="L875" s="5"/>
      <c r="M875" s="1610" t="s">
        <v>334</v>
      </c>
      <c r="N875" s="1611"/>
      <c r="O875" s="1611"/>
      <c r="P875" s="1611"/>
      <c r="Q875" s="1611"/>
      <c r="R875" s="1611"/>
      <c r="S875" s="1611"/>
      <c r="T875" s="1611"/>
      <c r="U875" s="1611"/>
      <c r="V875" s="1612"/>
      <c r="W875" s="1497"/>
      <c r="X875" s="1498"/>
      <c r="Y875" s="1498"/>
      <c r="Z875" s="1498"/>
      <c r="AA875" s="1498"/>
      <c r="AB875" s="1498"/>
      <c r="AC875" s="1499"/>
      <c r="AD875" s="532"/>
      <c r="AV875" s="14"/>
      <c r="AW875" s="14"/>
      <c r="AX875" s="14"/>
      <c r="AY875" s="14"/>
      <c r="AZ875" s="34"/>
      <c r="BA875" s="34"/>
      <c r="BB875" s="34"/>
      <c r="BC875" s="34"/>
    </row>
    <row r="876" spans="3:55" ht="12.95" customHeight="1">
      <c r="J876" s="45" t="s">
        <v>170</v>
      </c>
      <c r="K876" s="5"/>
      <c r="L876" s="5"/>
      <c r="M876" s="1610" t="s">
        <v>334</v>
      </c>
      <c r="N876" s="1611"/>
      <c r="O876" s="1611"/>
      <c r="P876" s="1611"/>
      <c r="Q876" s="1611"/>
      <c r="R876" s="1611"/>
      <c r="S876" s="1611"/>
      <c r="T876" s="1611"/>
      <c r="U876" s="1611"/>
      <c r="V876" s="1612"/>
      <c r="W876" s="1497"/>
      <c r="X876" s="1498"/>
      <c r="Y876" s="1498"/>
      <c r="Z876" s="1498"/>
      <c r="AA876" s="1498"/>
      <c r="AB876" s="1498"/>
      <c r="AC876" s="149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10" t="s">
        <v>334</v>
      </c>
      <c r="N877" s="1611"/>
      <c r="O877" s="1611"/>
      <c r="P877" s="1611"/>
      <c r="Q877" s="1611"/>
      <c r="R877" s="1611"/>
      <c r="S877" s="1611"/>
      <c r="T877" s="1611"/>
      <c r="U877" s="1611"/>
      <c r="V877" s="1612"/>
      <c r="W877" s="1497"/>
      <c r="X877" s="1498"/>
      <c r="Y877" s="1498"/>
      <c r="Z877" s="1498"/>
      <c r="AA877" s="1498"/>
      <c r="AB877" s="1498"/>
      <c r="AC877" s="149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10" t="s">
        <v>334</v>
      </c>
      <c r="N878" s="1611"/>
      <c r="O878" s="1611"/>
      <c r="P878" s="1611"/>
      <c r="Q878" s="1611"/>
      <c r="R878" s="1611"/>
      <c r="S878" s="1611"/>
      <c r="T878" s="1611"/>
      <c r="U878" s="1611"/>
      <c r="V878" s="1612"/>
      <c r="W878" s="1497"/>
      <c r="X878" s="1498"/>
      <c r="Y878" s="1498"/>
      <c r="Z878" s="1498"/>
      <c r="AA878" s="1498"/>
      <c r="AB878" s="1498"/>
      <c r="AC878" s="149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32">
        <f>SUM(W874:W878)</f>
        <v>0</v>
      </c>
      <c r="X879" s="1633"/>
      <c r="Y879" s="1633"/>
      <c r="Z879" s="1633"/>
      <c r="AA879" s="1633"/>
      <c r="AB879" s="1633"/>
      <c r="AC879" s="1634"/>
      <c r="AL879" s="14"/>
      <c r="AM879" s="14"/>
      <c r="AN879" s="14"/>
      <c r="AO879" s="14"/>
      <c r="AP879" s="14"/>
      <c r="AQ879" s="14"/>
      <c r="AR879" s="14"/>
      <c r="AS879" s="14"/>
      <c r="AT879" s="14"/>
      <c r="AV879" s="4"/>
      <c r="AW879" s="4"/>
      <c r="AX879" s="4"/>
      <c r="AY879" s="4"/>
      <c r="AZ879" s="34"/>
      <c r="BA879" s="34"/>
      <c r="BB879" s="34"/>
      <c r="BC879" s="34"/>
    </row>
    <row r="880" spans="3:55" ht="12.95" customHeight="1">
      <c r="E880" s="511"/>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2"/>
      <c r="J881" s="532"/>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1"/>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2" t="s">
        <v>277</v>
      </c>
      <c r="AC883" s="1633">
        <f>W847+W855+W862+W863+W872+W879+W849</f>
        <v>1371600</v>
      </c>
      <c r="AD883" s="1633"/>
      <c r="AE883" s="1633"/>
      <c r="AF883" s="1633"/>
      <c r="AG883" s="1633"/>
      <c r="AH883" s="163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2" t="s">
        <v>512</v>
      </c>
      <c r="AC884" s="1725">
        <f>O797+O777+G753</f>
        <v>150</v>
      </c>
      <c r="AD884" s="1725"/>
      <c r="AE884" s="1725"/>
      <c r="AF884" s="1725"/>
      <c r="AG884" s="1725"/>
      <c r="AH884" s="1726"/>
      <c r="AL884" s="4"/>
      <c r="AM884" s="4"/>
      <c r="AN884" s="4"/>
      <c r="AO884" s="4"/>
      <c r="AP884" s="4"/>
      <c r="AQ884" s="4"/>
      <c r="AR884" s="4"/>
      <c r="AS884" s="4"/>
      <c r="AT884" s="4"/>
      <c r="AZ884" s="34"/>
      <c r="BA884" s="34"/>
      <c r="BB884" s="34"/>
      <c r="BC884" s="34"/>
    </row>
    <row r="885" spans="3:55" ht="12.95" customHeight="1">
      <c r="C885" s="41"/>
      <c r="D885" s="42"/>
      <c r="E885" s="1658" t="s">
        <v>32</v>
      </c>
      <c r="F885" s="1658"/>
      <c r="G885" s="1658"/>
      <c r="H885" s="1658"/>
      <c r="I885" s="1658"/>
      <c r="J885" s="1658"/>
      <c r="K885" s="1658"/>
      <c r="L885" s="1658"/>
      <c r="M885" s="1658"/>
      <c r="N885" s="1658"/>
      <c r="O885" s="1658"/>
      <c r="P885" s="1658"/>
      <c r="Q885" s="1658"/>
      <c r="R885" s="1658"/>
      <c r="S885" s="1658"/>
      <c r="T885" s="1658"/>
      <c r="U885" s="1658"/>
      <c r="V885" s="1658"/>
      <c r="W885" s="1658"/>
      <c r="X885" s="1658"/>
      <c r="Y885" s="1658"/>
      <c r="Z885" s="1658"/>
      <c r="AA885" s="1658"/>
      <c r="AB885" s="1659"/>
      <c r="AC885" s="1714">
        <f>IF(ISERROR((ROUNDDOWN(AC883/AC884,0))),0,(ROUNDDOWN(AC883/AC884,0)))</f>
        <v>9144</v>
      </c>
      <c r="AD885" s="1714"/>
      <c r="AE885" s="1714"/>
      <c r="AF885" s="1714"/>
      <c r="AG885" s="1714"/>
      <c r="AH885" s="1714"/>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7">
        <f>MAX('Sources and Uses Budget'!C75,('15 Year Pro Forma'!E35+'15 Year Pro Forma'!E43)/12*3)</f>
        <v>660010</v>
      </c>
      <c r="AD886" s="1728"/>
      <c r="AE886" s="1728"/>
      <c r="AF886" s="1728"/>
      <c r="AG886" s="1728"/>
      <c r="AH886" s="172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99"/>
      <c r="AD887" s="1474"/>
      <c r="AE887" s="1474"/>
      <c r="AF887" s="1474"/>
      <c r="AG887" s="1474"/>
      <c r="AH887" s="147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98">
        <v>150000</v>
      </c>
      <c r="AD888" s="1498"/>
      <c r="AE888" s="1498"/>
      <c r="AF888" s="1498"/>
      <c r="AG888" s="1498"/>
      <c r="AH888" s="149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8">
        <f>500*(G753+O777)</f>
        <v>75000</v>
      </c>
      <c r="AD889" s="1498"/>
      <c r="AE889" s="1498"/>
      <c r="AF889" s="1498"/>
      <c r="AG889" s="1498"/>
      <c r="AH889" s="149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6">
        <v>7150</v>
      </c>
      <c r="AD890" s="1477"/>
      <c r="AE890" s="1477"/>
      <c r="AF890" s="1477"/>
      <c r="AG890" s="1477"/>
      <c r="AH890" s="1478"/>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8">
        <v>8000</v>
      </c>
      <c r="AD891" s="1498"/>
      <c r="AE891" s="1498"/>
      <c r="AF891" s="1498"/>
      <c r="AG891" s="1498"/>
      <c r="AH891" s="1499"/>
      <c r="AZ891" s="34"/>
      <c r="BA891" s="34"/>
      <c r="BB891" s="34"/>
      <c r="BC891" s="34"/>
    </row>
    <row r="892" spans="3:55" ht="12.95" hidden="1" customHeight="1">
      <c r="C892" s="1464" t="s">
        <v>2235</v>
      </c>
      <c r="D892" s="1465"/>
      <c r="E892" s="1465"/>
      <c r="F892" s="1465"/>
      <c r="G892" s="1465"/>
      <c r="H892" s="1465"/>
      <c r="I892" s="1465"/>
      <c r="J892" s="1465"/>
      <c r="K892" s="1465"/>
      <c r="L892" s="1465"/>
      <c r="M892" s="1465"/>
      <c r="N892" s="1465"/>
      <c r="O892" s="1465"/>
      <c r="P892" s="1465"/>
      <c r="Q892" s="1465"/>
      <c r="R892" s="1465"/>
      <c r="S892" s="1465"/>
      <c r="T892" s="1465"/>
      <c r="U892" s="1465"/>
      <c r="V892" s="1465"/>
      <c r="W892" s="1465"/>
      <c r="X892" s="1465"/>
      <c r="Y892" s="1465"/>
      <c r="Z892" s="1465"/>
      <c r="AA892" s="1465"/>
      <c r="AB892" s="1466"/>
      <c r="AC892" s="1498"/>
      <c r="AD892" s="1498"/>
      <c r="AE892" s="1498"/>
      <c r="AF892" s="1498"/>
      <c r="AG892" s="1498"/>
      <c r="AH892" s="149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98"/>
      <c r="AD893" s="1498"/>
      <c r="AE893" s="1498"/>
      <c r="AF893" s="1498"/>
      <c r="AG893" s="1498"/>
      <c r="AH893" s="1499"/>
      <c r="AZ893" s="34"/>
      <c r="BA893" s="34"/>
      <c r="BB893" s="34"/>
      <c r="BC893" s="34"/>
    </row>
    <row r="894" spans="3:55" ht="12.95" customHeight="1">
      <c r="C894" s="1650" t="s">
        <v>2729</v>
      </c>
      <c r="D894" s="1651"/>
      <c r="E894" s="1651"/>
      <c r="F894" s="1651"/>
      <c r="G894" s="1651"/>
      <c r="H894" s="1651"/>
      <c r="I894" s="1651"/>
      <c r="J894" s="1651"/>
      <c r="K894" s="1651"/>
      <c r="L894" s="1651"/>
      <c r="M894" s="1651"/>
      <c r="N894" s="1651"/>
      <c r="O894" s="1651"/>
      <c r="P894" s="1651"/>
      <c r="Q894" s="1651"/>
      <c r="R894" s="1651"/>
      <c r="S894" s="1651"/>
      <c r="T894" s="1651"/>
      <c r="U894" s="1651"/>
      <c r="V894" s="1651"/>
      <c r="W894" s="1651"/>
      <c r="X894" s="1651"/>
      <c r="Y894" s="1651"/>
      <c r="Z894" s="1651"/>
      <c r="AA894" s="1651"/>
      <c r="AB894" s="1652"/>
      <c r="AC894" s="1474">
        <f>6906+1200</f>
        <v>8106</v>
      </c>
      <c r="AD894" s="1474"/>
      <c r="AE894" s="1474"/>
      <c r="AF894" s="1474"/>
      <c r="AG894" s="1474"/>
      <c r="AH894" s="1474"/>
      <c r="AZ894" s="34"/>
      <c r="BA894" s="34"/>
      <c r="BB894" s="34"/>
      <c r="BC894" s="34"/>
    </row>
    <row r="895" spans="3:55" ht="12.95" customHeight="1">
      <c r="C895" s="1650" t="s">
        <v>957</v>
      </c>
      <c r="D895" s="1651"/>
      <c r="E895" s="1651"/>
      <c r="F895" s="1651"/>
      <c r="G895" s="1651"/>
      <c r="H895" s="1651"/>
      <c r="I895" s="1651"/>
      <c r="J895" s="1651"/>
      <c r="K895" s="1651"/>
      <c r="L895" s="1651"/>
      <c r="M895" s="1651"/>
      <c r="N895" s="1651"/>
      <c r="O895" s="1651"/>
      <c r="P895" s="1651"/>
      <c r="Q895" s="1651"/>
      <c r="R895" s="1651"/>
      <c r="S895" s="1651"/>
      <c r="T895" s="1651"/>
      <c r="U895" s="1651"/>
      <c r="V895" s="1651"/>
      <c r="W895" s="1651"/>
      <c r="X895" s="1651"/>
      <c r="Y895" s="1651"/>
      <c r="Z895" s="1651"/>
      <c r="AA895" s="1651"/>
      <c r="AB895" s="1652"/>
      <c r="AC895" s="1474"/>
      <c r="AD895" s="1474"/>
      <c r="AE895" s="1474"/>
      <c r="AF895" s="1474"/>
      <c r="AG895" s="1474"/>
      <c r="AH895" s="1474"/>
      <c r="AU895" s="95"/>
      <c r="AZ895" s="34"/>
      <c r="BA895" s="34"/>
      <c r="BB895" s="34"/>
      <c r="BC895" s="34"/>
    </row>
    <row r="896" spans="3:55" ht="12.95" customHeight="1">
      <c r="E896" s="511"/>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2"/>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97">
        <v>0</v>
      </c>
      <c r="AA899" s="1498"/>
      <c r="AB899" s="1498"/>
      <c r="AC899" s="1498"/>
      <c r="AD899" s="1498"/>
      <c r="AE899" s="1499"/>
      <c r="AF899" s="532"/>
      <c r="AZ899" s="34"/>
      <c r="BB899" s="30"/>
      <c r="BC899" s="815"/>
      <c r="BD899" s="1646"/>
      <c r="BE899" s="1646"/>
      <c r="BF899" s="14"/>
    </row>
    <row r="900" spans="1:58" ht="12.95" customHeight="1">
      <c r="H900" s="121" t="s">
        <v>239</v>
      </c>
      <c r="I900" s="5"/>
      <c r="J900" s="5"/>
      <c r="K900" s="5"/>
      <c r="L900" s="5"/>
      <c r="M900" s="5"/>
      <c r="N900" s="5"/>
      <c r="O900" s="5"/>
      <c r="P900" s="5"/>
      <c r="Q900" s="5"/>
      <c r="R900" s="5"/>
      <c r="S900" s="5"/>
      <c r="T900" s="5"/>
      <c r="U900" s="5"/>
      <c r="V900" s="5"/>
      <c r="W900" s="5"/>
      <c r="X900" s="5"/>
      <c r="Y900" s="5"/>
      <c r="Z900" s="1497">
        <v>0</v>
      </c>
      <c r="AA900" s="1498"/>
      <c r="AB900" s="1498"/>
      <c r="AC900" s="1498"/>
      <c r="AD900" s="1498"/>
      <c r="AE900" s="1499"/>
      <c r="AZ900" s="34"/>
      <c r="BB900" s="30"/>
      <c r="BC900" s="815"/>
      <c r="BD900" s="1646"/>
      <c r="BE900" s="1646"/>
      <c r="BF900" s="14"/>
    </row>
    <row r="901" spans="1:58" ht="12.95" customHeight="1">
      <c r="H901" s="121" t="s">
        <v>240</v>
      </c>
      <c r="I901" s="5"/>
      <c r="J901" s="5"/>
      <c r="K901" s="5"/>
      <c r="L901" s="5"/>
      <c r="M901" s="5"/>
      <c r="N901" s="5"/>
      <c r="O901" s="5"/>
      <c r="P901" s="5"/>
      <c r="Q901" s="5"/>
      <c r="R901" s="5"/>
      <c r="S901" s="5"/>
      <c r="T901" s="5"/>
      <c r="U901" s="5"/>
      <c r="V901" s="5"/>
      <c r="W901" s="5"/>
      <c r="X901" s="5"/>
      <c r="Y901" s="5"/>
      <c r="Z901" s="1497">
        <v>0</v>
      </c>
      <c r="AA901" s="1498"/>
      <c r="AB901" s="1498"/>
      <c r="AC901" s="1498"/>
      <c r="AD901" s="1498"/>
      <c r="AE901" s="1499"/>
      <c r="AZ901" s="34"/>
      <c r="BB901" s="30"/>
      <c r="BC901" s="815"/>
      <c r="BD901" s="1645"/>
      <c r="BE901" s="1645"/>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32">
        <f>Z899-(Z900+Z901)</f>
        <v>0</v>
      </c>
      <c r="AA902" s="1633"/>
      <c r="AB902" s="1633"/>
      <c r="AC902" s="1633"/>
      <c r="AD902" s="1633"/>
      <c r="AE902" s="1634"/>
      <c r="AZ902" s="34"/>
      <c r="BB902" s="30"/>
      <c r="BC902" s="815"/>
      <c r="BD902" s="1645"/>
      <c r="BE902" s="1645"/>
      <c r="BF902" s="14"/>
    </row>
    <row r="903" spans="1:58" ht="12.95" customHeight="1">
      <c r="C903" s="511"/>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5"/>
      <c r="BD903" s="1645"/>
      <c r="BE903" s="1645"/>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5"/>
      <c r="BD904" s="1646"/>
      <c r="BE904" s="1645"/>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5"/>
      <c r="BD905" s="1729"/>
      <c r="BE905" s="1729"/>
      <c r="BF905" s="172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5"/>
      <c r="BD906" s="1675"/>
      <c r="BE906" s="1675"/>
      <c r="BF906" s="1675"/>
    </row>
    <row r="907" spans="1:58" ht="12.95" customHeight="1">
      <c r="C907" s="339"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5"/>
      <c r="BD907" s="1645"/>
      <c r="BE907" s="1645"/>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5"/>
      <c r="BD908" s="1646"/>
      <c r="BE908" s="1645"/>
      <c r="BF908" s="14"/>
    </row>
    <row r="909" spans="1:58" ht="12.95" customHeight="1">
      <c r="AZ909" s="34"/>
      <c r="BB909" s="30"/>
      <c r="BC909" s="815"/>
    </row>
    <row r="910" spans="1:58" ht="12.95" customHeight="1">
      <c r="A910" s="1427" t="s">
        <v>96</v>
      </c>
      <c r="B910" s="1427"/>
      <c r="C910" s="1427"/>
      <c r="D910" s="1427"/>
      <c r="E910" s="1427"/>
      <c r="F910" s="1427"/>
      <c r="G910" s="1427"/>
      <c r="H910" s="1427"/>
      <c r="I910" s="1427"/>
      <c r="J910" s="1427"/>
      <c r="K910" s="1427"/>
      <c r="L910" s="1427"/>
      <c r="M910" s="1427"/>
      <c r="N910" s="1427"/>
      <c r="O910" s="1427"/>
      <c r="P910" s="1427"/>
      <c r="Q910" s="1427"/>
      <c r="R910" s="1427"/>
      <c r="S910" s="1427"/>
      <c r="T910" s="1427"/>
      <c r="U910" s="1427"/>
      <c r="V910" s="1427"/>
      <c r="W910" s="1427"/>
      <c r="X910" s="1427"/>
      <c r="Y910" s="1427"/>
      <c r="Z910" s="1427"/>
      <c r="AA910" s="1427"/>
      <c r="AB910" s="1427"/>
      <c r="AC910" s="1427"/>
      <c r="AD910" s="1427"/>
      <c r="AE910" s="1427"/>
      <c r="AF910" s="1427"/>
      <c r="AG910" s="1427"/>
      <c r="AH910" s="1427"/>
      <c r="AI910" s="1427"/>
      <c r="AJ910" s="1427"/>
      <c r="AK910" s="1427"/>
      <c r="AL910" s="1427"/>
      <c r="AM910" s="1427"/>
      <c r="AN910" s="1427"/>
      <c r="AO910" s="1427"/>
      <c r="AP910" s="1427"/>
      <c r="AQ910" s="1427"/>
      <c r="AR910" s="1427"/>
      <c r="AS910" s="1427"/>
      <c r="AT910" s="1427"/>
      <c r="AZ910" s="34"/>
      <c r="BA910" s="34"/>
      <c r="BB910" s="30"/>
      <c r="BC910" s="30"/>
      <c r="BD910" s="1646"/>
      <c r="BE910" s="1645"/>
      <c r="BF910" s="910"/>
    </row>
    <row r="911" spans="1:58" ht="12.95" customHeight="1">
      <c r="A911" s="1427"/>
      <c r="B911" s="1427"/>
      <c r="C911" s="1427"/>
      <c r="D911" s="1427"/>
      <c r="E911" s="1427"/>
      <c r="F911" s="1427"/>
      <c r="G911" s="1427"/>
      <c r="H911" s="1427"/>
      <c r="I911" s="1427"/>
      <c r="J911" s="1427"/>
      <c r="K911" s="1427"/>
      <c r="L911" s="1427"/>
      <c r="M911" s="1427"/>
      <c r="N911" s="1427"/>
      <c r="O911" s="1427"/>
      <c r="P911" s="1427"/>
      <c r="Q911" s="1427"/>
      <c r="R911" s="1427"/>
      <c r="S911" s="1427"/>
      <c r="T911" s="1427"/>
      <c r="U911" s="1427"/>
      <c r="V911" s="1427"/>
      <c r="W911" s="1427"/>
      <c r="X911" s="1427"/>
      <c r="Y911" s="1427"/>
      <c r="Z911" s="1427"/>
      <c r="AA911" s="1427"/>
      <c r="AB911" s="1427"/>
      <c r="AC911" s="1427"/>
      <c r="AD911" s="1427"/>
      <c r="AE911" s="1427"/>
      <c r="AF911" s="1427"/>
      <c r="AG911" s="1427"/>
      <c r="AH911" s="1427"/>
      <c r="AI911" s="1427"/>
      <c r="AJ911" s="1427"/>
      <c r="AK911" s="1427"/>
      <c r="AL911" s="1427"/>
      <c r="AM911" s="1427"/>
      <c r="AN911" s="1427"/>
      <c r="AO911" s="1427"/>
      <c r="AP911" s="1427"/>
      <c r="AQ911" s="1427"/>
      <c r="AR911" s="1427"/>
      <c r="AS911" s="1427"/>
      <c r="AT911" s="1427"/>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61" t="s">
        <v>793</v>
      </c>
      <c r="G915" s="1662"/>
      <c r="H915" s="1662"/>
      <c r="I915" s="1662"/>
      <c r="J915" s="1662"/>
      <c r="K915" s="1662"/>
      <c r="L915" s="1662"/>
      <c r="M915" s="1662"/>
      <c r="N915" s="1662"/>
      <c r="O915" s="1662"/>
      <c r="P915" s="1662"/>
      <c r="Q915" s="1662"/>
      <c r="R915" s="1662"/>
      <c r="S915" s="1662"/>
      <c r="T915" s="1663"/>
      <c r="U915" s="1601" t="s">
        <v>31</v>
      </c>
      <c r="V915" s="1602"/>
      <c r="W915" s="1602"/>
      <c r="X915" s="1602"/>
      <c r="Y915" s="1602"/>
      <c r="Z915" s="1602"/>
      <c r="AA915" s="43"/>
      <c r="AB915" s="105"/>
      <c r="AC915" s="105"/>
      <c r="AD915" s="105"/>
      <c r="AE915" s="105"/>
      <c r="AF915" s="106"/>
      <c r="AZ915" s="34"/>
      <c r="BA915" s="34"/>
      <c r="BB915" s="34"/>
      <c r="BC915" s="34"/>
    </row>
    <row r="916" spans="1:58" ht="12.95" customHeight="1">
      <c r="B916" s="2"/>
      <c r="F916" s="1603" t="s">
        <v>819</v>
      </c>
      <c r="G916" s="1604"/>
      <c r="H916" s="1604"/>
      <c r="I916" s="1604"/>
      <c r="J916" s="1604"/>
      <c r="K916" s="1604"/>
      <c r="L916" s="1604"/>
      <c r="M916" s="1604"/>
      <c r="N916" s="1604"/>
      <c r="O916" s="1604"/>
      <c r="P916" s="1604"/>
      <c r="Q916" s="1604"/>
      <c r="R916" s="1604"/>
      <c r="S916" s="1604"/>
      <c r="T916" s="1616"/>
      <c r="U916" s="1603"/>
      <c r="V916" s="1604"/>
      <c r="W916" s="1604"/>
      <c r="X916" s="1604"/>
      <c r="Y916" s="1604"/>
      <c r="Z916" s="1604"/>
      <c r="AA916" s="44"/>
      <c r="AB916" s="4"/>
      <c r="AC916" s="4"/>
      <c r="AD916" s="4"/>
      <c r="AE916" s="4"/>
      <c r="AF916" s="107"/>
      <c r="AZ916" s="34"/>
      <c r="BA916" s="34"/>
      <c r="BB916" s="34"/>
      <c r="BC916" s="34"/>
    </row>
    <row r="917" spans="1:58" ht="12.95" customHeight="1">
      <c r="B917" s="2"/>
      <c r="F917" s="1605"/>
      <c r="G917" s="1606"/>
      <c r="H917" s="1606"/>
      <c r="I917" s="1606"/>
      <c r="J917" s="1606"/>
      <c r="K917" s="1606"/>
      <c r="L917" s="1606"/>
      <c r="M917" s="1606"/>
      <c r="N917" s="1606"/>
      <c r="O917" s="1606"/>
      <c r="P917" s="1606"/>
      <c r="Q917" s="1606"/>
      <c r="R917" s="1606"/>
      <c r="S917" s="1606"/>
      <c r="T917" s="1617"/>
      <c r="U917" s="1605"/>
      <c r="V917" s="1606"/>
      <c r="W917" s="1606"/>
      <c r="X917" s="1606"/>
      <c r="Y917" s="1606"/>
      <c r="Z917" s="1606"/>
      <c r="AA917" s="108"/>
      <c r="AB917" s="1459" t="s">
        <v>391</v>
      </c>
      <c r="AC917" s="1459"/>
      <c r="AD917" s="1459"/>
      <c r="AE917" s="1459"/>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6" t="s">
        <v>546</v>
      </c>
      <c r="V918" s="1407"/>
      <c r="W918" s="1407"/>
      <c r="X918" s="1407"/>
      <c r="Y918" s="1407"/>
      <c r="Z918" s="1408"/>
      <c r="AA918" s="1412">
        <f>AM554</f>
        <v>44487000</v>
      </c>
      <c r="AB918" s="1413"/>
      <c r="AC918" s="1413"/>
      <c r="AD918" s="1413"/>
      <c r="AE918" s="1413"/>
      <c r="AF918" s="1414"/>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6" t="s">
        <v>592</v>
      </c>
      <c r="V919" s="1407"/>
      <c r="W919" s="1407"/>
      <c r="X919" s="1407"/>
      <c r="Y919" s="1407"/>
      <c r="Z919" s="1408"/>
      <c r="AA919" s="1412"/>
      <c r="AB919" s="1413"/>
      <c r="AC919" s="1413"/>
      <c r="AD919" s="1413"/>
      <c r="AE919" s="1413"/>
      <c r="AF919" s="1414"/>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6" t="s">
        <v>592</v>
      </c>
      <c r="V920" s="1407"/>
      <c r="W920" s="1407"/>
      <c r="X920" s="1407"/>
      <c r="Y920" s="1407"/>
      <c r="Z920" s="1408"/>
      <c r="AA920" s="1412"/>
      <c r="AB920" s="1413"/>
      <c r="AC920" s="1413"/>
      <c r="AD920" s="1413"/>
      <c r="AE920" s="1413"/>
      <c r="AF920" s="1414"/>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6" t="s">
        <v>592</v>
      </c>
      <c r="V921" s="1407"/>
      <c r="W921" s="1407"/>
      <c r="X921" s="1407"/>
      <c r="Y921" s="1407"/>
      <c r="Z921" s="1408"/>
      <c r="AA921" s="1412"/>
      <c r="AB921" s="1413"/>
      <c r="AC921" s="1413"/>
      <c r="AD921" s="1413"/>
      <c r="AE921" s="1413"/>
      <c r="AF921" s="1414"/>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6" t="s">
        <v>592</v>
      </c>
      <c r="V922" s="1407"/>
      <c r="W922" s="1407"/>
      <c r="X922" s="1407"/>
      <c r="Y922" s="1407"/>
      <c r="Z922" s="1408"/>
      <c r="AA922" s="1412"/>
      <c r="AB922" s="1413"/>
      <c r="AC922" s="1413"/>
      <c r="AD922" s="1413"/>
      <c r="AE922" s="1413"/>
      <c r="AF922" s="1414"/>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6" t="s">
        <v>592</v>
      </c>
      <c r="V923" s="1407"/>
      <c r="W923" s="1407"/>
      <c r="X923" s="1407"/>
      <c r="Y923" s="1407"/>
      <c r="Z923" s="1408"/>
      <c r="AA923" s="1412"/>
      <c r="AB923" s="1413"/>
      <c r="AC923" s="1413"/>
      <c r="AD923" s="1413"/>
      <c r="AE923" s="1413"/>
      <c r="AF923" s="1414"/>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6" t="s">
        <v>592</v>
      </c>
      <c r="V924" s="1407"/>
      <c r="W924" s="1407"/>
      <c r="X924" s="1407"/>
      <c r="Y924" s="1407"/>
      <c r="Z924" s="1408"/>
      <c r="AA924" s="1412"/>
      <c r="AB924" s="1413"/>
      <c r="AC924" s="1413"/>
      <c r="AD924" s="1413"/>
      <c r="AE924" s="1413"/>
      <c r="AF924" s="1414"/>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6" t="s">
        <v>592</v>
      </c>
      <c r="V925" s="1407"/>
      <c r="W925" s="1407"/>
      <c r="X925" s="1407"/>
      <c r="Y925" s="1407"/>
      <c r="Z925" s="1408"/>
      <c r="AA925" s="1412"/>
      <c r="AB925" s="1413"/>
      <c r="AC925" s="1413"/>
      <c r="AD925" s="1413"/>
      <c r="AE925" s="1413"/>
      <c r="AF925" s="1414"/>
      <c r="AZ925" s="34"/>
      <c r="BA925" s="34"/>
      <c r="BB925" s="34"/>
      <c r="BC925" s="34"/>
    </row>
    <row r="926" spans="1:58" ht="12.95" customHeight="1">
      <c r="F926" s="1618" t="s">
        <v>2194</v>
      </c>
      <c r="G926" s="1619"/>
      <c r="H926" s="1619"/>
      <c r="I926" s="1619"/>
      <c r="J926" s="1619"/>
      <c r="K926" s="1619"/>
      <c r="L926" s="1619"/>
      <c r="M926" s="1619"/>
      <c r="N926" s="1619"/>
      <c r="O926" s="1619"/>
      <c r="P926" s="1619"/>
      <c r="Q926" s="1619"/>
      <c r="R926" s="1619"/>
      <c r="S926" s="1619"/>
      <c r="T926" s="1620"/>
      <c r="U926" s="1406" t="s">
        <v>592</v>
      </c>
      <c r="V926" s="1407"/>
      <c r="W926" s="1407"/>
      <c r="X926" s="1407"/>
      <c r="Y926" s="1407"/>
      <c r="Z926" s="1408"/>
      <c r="AA926" s="1412"/>
      <c r="AB926" s="1413"/>
      <c r="AC926" s="1413"/>
      <c r="AD926" s="1413"/>
      <c r="AE926" s="1413"/>
      <c r="AF926" s="1414"/>
      <c r="AZ926" s="34"/>
      <c r="BA926" s="34"/>
      <c r="BB926" s="34"/>
      <c r="BC926" s="34"/>
    </row>
    <row r="927" spans="1:58" ht="12.95" customHeight="1">
      <c r="F927" s="1618" t="s">
        <v>680</v>
      </c>
      <c r="G927" s="1619"/>
      <c r="H927" s="1619"/>
      <c r="I927" s="1619"/>
      <c r="J927" s="1619"/>
      <c r="K927" s="1619"/>
      <c r="L927" s="1619"/>
      <c r="M927" s="1619"/>
      <c r="N927" s="1619"/>
      <c r="O927" s="1619"/>
      <c r="P927" s="1619"/>
      <c r="Q927" s="1619"/>
      <c r="R927" s="1619"/>
      <c r="S927" s="1619"/>
      <c r="T927" s="1620"/>
      <c r="U927" s="1406" t="s">
        <v>592</v>
      </c>
      <c r="V927" s="1407"/>
      <c r="W927" s="1407"/>
      <c r="X927" s="1407"/>
      <c r="Y927" s="1407"/>
      <c r="Z927" s="1408"/>
      <c r="AA927" s="1412"/>
      <c r="AB927" s="1413"/>
      <c r="AC927" s="1413"/>
      <c r="AD927" s="1413"/>
      <c r="AE927" s="1413"/>
      <c r="AF927" s="1414"/>
      <c r="AU927" s="2"/>
      <c r="AZ927" s="34"/>
      <c r="BA927" s="34"/>
      <c r="BB927" s="34"/>
      <c r="BC927" s="34"/>
    </row>
    <row r="928" spans="1:58" ht="12.95" customHeight="1">
      <c r="F928" s="1618" t="s">
        <v>2195</v>
      </c>
      <c r="G928" s="1619"/>
      <c r="H928" s="1619"/>
      <c r="I928" s="1619"/>
      <c r="J928" s="1619"/>
      <c r="K928" s="1619"/>
      <c r="L928" s="1619"/>
      <c r="M928" s="1619"/>
      <c r="N928" s="1619"/>
      <c r="O928" s="1619"/>
      <c r="P928" s="1619"/>
      <c r="Q928" s="1619"/>
      <c r="R928" s="1619"/>
      <c r="S928" s="1619"/>
      <c r="T928" s="1620"/>
      <c r="U928" s="1406" t="s">
        <v>592</v>
      </c>
      <c r="V928" s="1407"/>
      <c r="W928" s="1407"/>
      <c r="X928" s="1407"/>
      <c r="Y928" s="1407"/>
      <c r="Z928" s="1408"/>
      <c r="AA928" s="1412"/>
      <c r="AB928" s="1413"/>
      <c r="AC928" s="1413"/>
      <c r="AD928" s="1413"/>
      <c r="AE928" s="1413"/>
      <c r="AF928" s="1414"/>
      <c r="AU928" s="2"/>
      <c r="AZ928" s="34"/>
      <c r="BA928" s="34"/>
      <c r="BB928" s="34"/>
      <c r="BC928" s="34"/>
    </row>
    <row r="929" spans="6:55" ht="12.95" customHeight="1">
      <c r="F929" s="1618" t="s">
        <v>2196</v>
      </c>
      <c r="G929" s="1619"/>
      <c r="H929" s="1619"/>
      <c r="I929" s="1619"/>
      <c r="J929" s="1619"/>
      <c r="K929" s="1619"/>
      <c r="L929" s="1619"/>
      <c r="M929" s="1619"/>
      <c r="N929" s="1619"/>
      <c r="O929" s="1619"/>
      <c r="P929" s="1619"/>
      <c r="Q929" s="1619"/>
      <c r="R929" s="1619"/>
      <c r="S929" s="1619"/>
      <c r="T929" s="1620"/>
      <c r="U929" s="1406" t="s">
        <v>592</v>
      </c>
      <c r="V929" s="1407"/>
      <c r="W929" s="1407"/>
      <c r="X929" s="1407"/>
      <c r="Y929" s="1407"/>
      <c r="Z929" s="1408"/>
      <c r="AA929" s="1412"/>
      <c r="AB929" s="1413"/>
      <c r="AC929" s="1413"/>
      <c r="AD929" s="1413"/>
      <c r="AE929" s="1413"/>
      <c r="AF929" s="1414"/>
      <c r="AU929" s="2"/>
      <c r="AZ929" s="34"/>
      <c r="BA929" s="34"/>
      <c r="BB929" s="34"/>
      <c r="BC929" s="34"/>
    </row>
    <row r="930" spans="6:55" ht="12.95" customHeight="1">
      <c r="F930" s="1618" t="s">
        <v>2197</v>
      </c>
      <c r="G930" s="1619"/>
      <c r="H930" s="1619"/>
      <c r="I930" s="1619"/>
      <c r="J930" s="1619"/>
      <c r="K930" s="1619"/>
      <c r="L930" s="1619"/>
      <c r="M930" s="1619"/>
      <c r="N930" s="1619"/>
      <c r="O930" s="1619"/>
      <c r="P930" s="1619"/>
      <c r="Q930" s="1619"/>
      <c r="R930" s="1619"/>
      <c r="S930" s="1619"/>
      <c r="T930" s="1620"/>
      <c r="U930" s="1406" t="s">
        <v>592</v>
      </c>
      <c r="V930" s="1407"/>
      <c r="W930" s="1407"/>
      <c r="X930" s="1407"/>
      <c r="Y930" s="1407"/>
      <c r="Z930" s="1408"/>
      <c r="AA930" s="1412"/>
      <c r="AB930" s="1413"/>
      <c r="AC930" s="1413"/>
      <c r="AD930" s="1413"/>
      <c r="AE930" s="1413"/>
      <c r="AF930" s="1414"/>
      <c r="AU930" s="2"/>
      <c r="AZ930" s="34"/>
      <c r="BA930" s="34"/>
      <c r="BB930" s="34"/>
      <c r="BC930" s="34"/>
    </row>
    <row r="931" spans="6:55" ht="12.95" customHeight="1">
      <c r="F931" s="1618" t="s">
        <v>2198</v>
      </c>
      <c r="G931" s="1619"/>
      <c r="H931" s="1619"/>
      <c r="I931" s="1619"/>
      <c r="J931" s="1619"/>
      <c r="K931" s="1619"/>
      <c r="L931" s="1619"/>
      <c r="M931" s="1619"/>
      <c r="N931" s="1619"/>
      <c r="O931" s="1619"/>
      <c r="P931" s="1619"/>
      <c r="Q931" s="1619"/>
      <c r="R931" s="1619"/>
      <c r="S931" s="1619"/>
      <c r="T931" s="1620"/>
      <c r="U931" s="1406" t="s">
        <v>592</v>
      </c>
      <c r="V931" s="1407"/>
      <c r="W931" s="1407"/>
      <c r="X931" s="1407"/>
      <c r="Y931" s="1407"/>
      <c r="Z931" s="1408"/>
      <c r="AA931" s="1412"/>
      <c r="AB931" s="1413"/>
      <c r="AC931" s="1413"/>
      <c r="AD931" s="1413"/>
      <c r="AE931" s="1413"/>
      <c r="AF931" s="1414"/>
      <c r="AU931" s="2"/>
      <c r="AZ931" s="34"/>
      <c r="BA931" s="34"/>
      <c r="BB931" s="34"/>
      <c r="BC931" s="34"/>
    </row>
    <row r="932" spans="6:55" ht="12.95" customHeight="1">
      <c r="F932" s="1618" t="s">
        <v>2199</v>
      </c>
      <c r="G932" s="1619"/>
      <c r="H932" s="1619"/>
      <c r="I932" s="1619"/>
      <c r="J932" s="1619"/>
      <c r="K932" s="1619"/>
      <c r="L932" s="1619"/>
      <c r="M932" s="1619"/>
      <c r="N932" s="1619"/>
      <c r="O932" s="1619"/>
      <c r="P932" s="1619"/>
      <c r="Q932" s="1619"/>
      <c r="R932" s="1619"/>
      <c r="S932" s="1619"/>
      <c r="T932" s="1620"/>
      <c r="U932" s="1406" t="s">
        <v>592</v>
      </c>
      <c r="V932" s="1407"/>
      <c r="W932" s="1407"/>
      <c r="X932" s="1407"/>
      <c r="Y932" s="1407"/>
      <c r="Z932" s="1408"/>
      <c r="AA932" s="1412"/>
      <c r="AB932" s="1413"/>
      <c r="AC932" s="1413"/>
      <c r="AD932" s="1413"/>
      <c r="AE932" s="1413"/>
      <c r="AF932" s="1414"/>
      <c r="AZ932" s="30"/>
      <c r="BA932" s="30"/>
    </row>
    <row r="933" spans="6:55" ht="12.95" customHeight="1">
      <c r="F933" s="178" t="s">
        <v>677</v>
      </c>
      <c r="G933" s="5"/>
      <c r="H933" s="5"/>
      <c r="I933" s="5"/>
      <c r="J933" s="5"/>
      <c r="K933" s="5"/>
      <c r="L933" s="5"/>
      <c r="M933" s="5"/>
      <c r="N933" s="5"/>
      <c r="O933" s="5"/>
      <c r="P933" s="5"/>
      <c r="Q933" s="5"/>
      <c r="R933" s="5"/>
      <c r="S933" s="5"/>
      <c r="T933" s="46"/>
      <c r="U933" s="1406" t="s">
        <v>592</v>
      </c>
      <c r="V933" s="1407"/>
      <c r="W933" s="1407"/>
      <c r="X933" s="1407"/>
      <c r="Y933" s="1407"/>
      <c r="Z933" s="1408"/>
      <c r="AA933" s="1412"/>
      <c r="AB933" s="1413"/>
      <c r="AC933" s="1413"/>
      <c r="AD933" s="1413"/>
      <c r="AE933" s="1413"/>
      <c r="AF933" s="1414"/>
    </row>
    <row r="934" spans="6:55" ht="12.95" customHeight="1">
      <c r="F934" s="121" t="s">
        <v>1278</v>
      </c>
      <c r="G934" s="5"/>
      <c r="H934" s="5"/>
      <c r="I934" s="5"/>
      <c r="J934" s="5"/>
      <c r="K934" s="5"/>
      <c r="L934" s="5"/>
      <c r="M934" s="5"/>
      <c r="N934" s="5"/>
      <c r="O934" s="5"/>
      <c r="P934" s="5"/>
      <c r="Q934" s="5"/>
      <c r="R934" s="5"/>
      <c r="S934" s="5"/>
      <c r="T934" s="46"/>
      <c r="U934" s="1406" t="s">
        <v>592</v>
      </c>
      <c r="V934" s="1407"/>
      <c r="W934" s="1407"/>
      <c r="X934" s="1407"/>
      <c r="Y934" s="1407"/>
      <c r="Z934" s="1408"/>
      <c r="AA934" s="1412"/>
      <c r="AB934" s="1413"/>
      <c r="AC934" s="1413"/>
      <c r="AD934" s="1413"/>
      <c r="AE934" s="1413"/>
      <c r="AF934" s="1414"/>
      <c r="AZ934" s="30"/>
      <c r="BA934" s="14"/>
    </row>
    <row r="935" spans="6:55" ht="12.95" customHeight="1">
      <c r="F935" s="66" t="s">
        <v>803</v>
      </c>
      <c r="G935" s="5"/>
      <c r="H935" s="5"/>
      <c r="I935" s="5"/>
      <c r="J935" s="5"/>
      <c r="K935" s="5"/>
      <c r="L935" s="5"/>
      <c r="M935" s="5"/>
      <c r="N935" s="5"/>
      <c r="O935" s="5"/>
      <c r="P935" s="5"/>
      <c r="Q935" s="5"/>
      <c r="R935" s="5"/>
      <c r="S935" s="5"/>
      <c r="T935" s="46"/>
      <c r="U935" s="1406" t="s">
        <v>592</v>
      </c>
      <c r="V935" s="1407"/>
      <c r="W935" s="1407"/>
      <c r="X935" s="1407"/>
      <c r="Y935" s="1407"/>
      <c r="Z935" s="1408"/>
      <c r="AA935" s="1412"/>
      <c r="AB935" s="1413"/>
      <c r="AC935" s="1413"/>
      <c r="AD935" s="1413"/>
      <c r="AE935" s="1413"/>
      <c r="AF935" s="1414"/>
      <c r="AZ935" s="30"/>
      <c r="BA935" s="14"/>
    </row>
    <row r="936" spans="6:55" ht="12.95" customHeight="1">
      <c r="F936" s="1666" t="s">
        <v>2203</v>
      </c>
      <c r="G936" s="1667"/>
      <c r="H936" s="1667"/>
      <c r="I936" s="1667"/>
      <c r="J936" s="1667"/>
      <c r="K936" s="1667"/>
      <c r="L936" s="1667"/>
      <c r="M936" s="1667"/>
      <c r="N936" s="1667"/>
      <c r="O936" s="1667"/>
      <c r="P936" s="1667"/>
      <c r="Q936" s="1667"/>
      <c r="R936" s="1667"/>
      <c r="S936" s="1667"/>
      <c r="T936" s="1668"/>
      <c r="U936" s="1406" t="s">
        <v>592</v>
      </c>
      <c r="V936" s="1407"/>
      <c r="W936" s="1407"/>
      <c r="X936" s="1407"/>
      <c r="Y936" s="1407"/>
      <c r="Z936" s="1408"/>
      <c r="AA936" s="1412"/>
      <c r="AB936" s="1413"/>
      <c r="AC936" s="1413"/>
      <c r="AD936" s="1413"/>
      <c r="AE936" s="1413"/>
      <c r="AF936" s="1414"/>
      <c r="AZ936" s="30"/>
      <c r="BA936" s="14"/>
    </row>
    <row r="937" spans="6:55" ht="12.95" customHeight="1">
      <c r="F937" s="1666" t="s">
        <v>2204</v>
      </c>
      <c r="G937" s="1667"/>
      <c r="H937" s="1667"/>
      <c r="I937" s="1667"/>
      <c r="J937" s="1667"/>
      <c r="K937" s="1667"/>
      <c r="L937" s="1667"/>
      <c r="M937" s="1667"/>
      <c r="N937" s="1667"/>
      <c r="O937" s="1667"/>
      <c r="P937" s="1667"/>
      <c r="Q937" s="1667"/>
      <c r="R937" s="1667"/>
      <c r="S937" s="1667"/>
      <c r="T937" s="1668"/>
      <c r="U937" s="1406" t="s">
        <v>592</v>
      </c>
      <c r="V937" s="1407"/>
      <c r="W937" s="1407"/>
      <c r="X937" s="1407"/>
      <c r="Y937" s="1407"/>
      <c r="Z937" s="1408"/>
      <c r="AA937" s="1412"/>
      <c r="AB937" s="1413"/>
      <c r="AC937" s="1413"/>
      <c r="AD937" s="1413"/>
      <c r="AE937" s="1413"/>
      <c r="AF937" s="1414"/>
      <c r="AZ937" s="30"/>
      <c r="BA937" s="30"/>
    </row>
    <row r="938" spans="6:55" ht="12.95" customHeight="1">
      <c r="F938" s="1618" t="s">
        <v>2200</v>
      </c>
      <c r="G938" s="1619"/>
      <c r="H938" s="1619"/>
      <c r="I938" s="1619"/>
      <c r="J938" s="1619"/>
      <c r="K938" s="1619"/>
      <c r="L938" s="1619"/>
      <c r="M938" s="1619"/>
      <c r="N938" s="1619"/>
      <c r="O938" s="1619"/>
      <c r="P938" s="1619"/>
      <c r="Q938" s="1619"/>
      <c r="R938" s="1619"/>
      <c r="S938" s="1619"/>
      <c r="T938" s="1620"/>
      <c r="U938" s="1406" t="s">
        <v>592</v>
      </c>
      <c r="V938" s="1407"/>
      <c r="W938" s="1407"/>
      <c r="X938" s="1407"/>
      <c r="Y938" s="1407"/>
      <c r="Z938" s="1408"/>
      <c r="AA938" s="1412"/>
      <c r="AB938" s="1413"/>
      <c r="AC938" s="1413"/>
      <c r="AD938" s="1413"/>
      <c r="AE938" s="1413"/>
      <c r="AF938" s="1414"/>
      <c r="AZ938" s="30"/>
      <c r="BA938" s="30"/>
    </row>
    <row r="939" spans="6:55" ht="12.95" customHeight="1">
      <c r="F939" s="1618" t="s">
        <v>2201</v>
      </c>
      <c r="G939" s="1619"/>
      <c r="H939" s="1619"/>
      <c r="I939" s="1619"/>
      <c r="J939" s="1619"/>
      <c r="K939" s="1619"/>
      <c r="L939" s="1619"/>
      <c r="M939" s="1619"/>
      <c r="N939" s="1619"/>
      <c r="O939" s="1619"/>
      <c r="P939" s="1619"/>
      <c r="Q939" s="1619"/>
      <c r="R939" s="1619"/>
      <c r="S939" s="1619"/>
      <c r="T939" s="1620"/>
      <c r="U939" s="1406" t="s">
        <v>546</v>
      </c>
      <c r="V939" s="1407"/>
      <c r="W939" s="1407"/>
      <c r="X939" s="1407"/>
      <c r="Y939" s="1407"/>
      <c r="Z939" s="1408"/>
      <c r="AA939" s="1412">
        <f>AO628</f>
        <v>10000000</v>
      </c>
      <c r="AB939" s="1413"/>
      <c r="AC939" s="1413"/>
      <c r="AD939" s="1413"/>
      <c r="AE939" s="1413"/>
      <c r="AF939" s="1414"/>
      <c r="AZ939" s="30"/>
      <c r="BA939" s="30"/>
    </row>
    <row r="940" spans="6:55" ht="12.95" customHeight="1">
      <c r="F940" s="1618" t="s">
        <v>2202</v>
      </c>
      <c r="G940" s="1619"/>
      <c r="H940" s="1619"/>
      <c r="I940" s="1619"/>
      <c r="J940" s="1619"/>
      <c r="K940" s="1619"/>
      <c r="L940" s="1619"/>
      <c r="M940" s="1619"/>
      <c r="N940" s="1619"/>
      <c r="O940" s="1619"/>
      <c r="P940" s="1619"/>
      <c r="Q940" s="1619"/>
      <c r="R940" s="1619"/>
      <c r="S940" s="1619"/>
      <c r="T940" s="1620"/>
      <c r="U940" s="1406" t="s">
        <v>592</v>
      </c>
      <c r="V940" s="1407"/>
      <c r="W940" s="1407"/>
      <c r="X940" s="1407"/>
      <c r="Y940" s="1407"/>
      <c r="Z940" s="1408"/>
      <c r="AA940" s="1412"/>
      <c r="AB940" s="1413"/>
      <c r="AC940" s="1413"/>
      <c r="AD940" s="1413"/>
      <c r="AE940" s="1413"/>
      <c r="AF940" s="1414"/>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6" t="s">
        <v>592</v>
      </c>
      <c r="V941" s="1407"/>
      <c r="W941" s="1407"/>
      <c r="X941" s="1407"/>
      <c r="Y941" s="1407"/>
      <c r="Z941" s="1408"/>
      <c r="AA941" s="1412"/>
      <c r="AB941" s="1413"/>
      <c r="AC941" s="1413"/>
      <c r="AD941" s="1413"/>
      <c r="AE941" s="1413"/>
      <c r="AF941" s="1414"/>
      <c r="AZ941" s="34"/>
      <c r="BA941" s="34"/>
      <c r="BB941" s="14"/>
      <c r="BC941" s="14"/>
    </row>
    <row r="942" spans="6:55" ht="12.95" customHeight="1">
      <c r="F942" s="1666" t="s">
        <v>2205</v>
      </c>
      <c r="G942" s="1667"/>
      <c r="H942" s="1667"/>
      <c r="I942" s="1667"/>
      <c r="J942" s="1667"/>
      <c r="K942" s="1667"/>
      <c r="L942" s="1667"/>
      <c r="M942" s="1667"/>
      <c r="N942" s="1667"/>
      <c r="O942" s="1667"/>
      <c r="P942" s="1667"/>
      <c r="Q942" s="1667"/>
      <c r="R942" s="1667"/>
      <c r="S942" s="1667"/>
      <c r="T942" s="1668"/>
      <c r="U942" s="1406" t="s">
        <v>592</v>
      </c>
      <c r="V942" s="1407"/>
      <c r="W942" s="1407"/>
      <c r="X942" s="1407"/>
      <c r="Y942" s="1407"/>
      <c r="Z942" s="1408"/>
      <c r="AA942" s="1412"/>
      <c r="AB942" s="1413"/>
      <c r="AC942" s="1413"/>
      <c r="AD942" s="1413"/>
      <c r="AE942" s="1413"/>
      <c r="AF942" s="1414"/>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6" t="s">
        <v>592</v>
      </c>
      <c r="V943" s="1407"/>
      <c r="W943" s="1407"/>
      <c r="X943" s="1407"/>
      <c r="Y943" s="1407"/>
      <c r="Z943" s="1408"/>
      <c r="AA943" s="1412"/>
      <c r="AB943" s="1413"/>
      <c r="AC943" s="1413"/>
      <c r="AD943" s="1413"/>
      <c r="AE943" s="1413"/>
      <c r="AF943" s="1414"/>
      <c r="AZ943" s="34"/>
      <c r="BA943" s="34"/>
      <c r="BB943" s="34"/>
      <c r="BC943" s="34"/>
    </row>
    <row r="944" spans="6:55" ht="12.95" customHeight="1">
      <c r="F944" s="1666" t="s">
        <v>2206</v>
      </c>
      <c r="G944" s="1667"/>
      <c r="H944" s="1667"/>
      <c r="I944" s="1667"/>
      <c r="J944" s="1667"/>
      <c r="K944" s="1667"/>
      <c r="L944" s="1667"/>
      <c r="M944" s="1667"/>
      <c r="N944" s="1667"/>
      <c r="O944" s="1667"/>
      <c r="P944" s="1667"/>
      <c r="Q944" s="1667"/>
      <c r="R944" s="1667"/>
      <c r="S944" s="1667"/>
      <c r="T944" s="1668"/>
      <c r="U944" s="1406" t="s">
        <v>592</v>
      </c>
      <c r="V944" s="1407"/>
      <c r="W944" s="1407"/>
      <c r="X944" s="1407"/>
      <c r="Y944" s="1407"/>
      <c r="Z944" s="1408"/>
      <c r="AA944" s="1412"/>
      <c r="AB944" s="1413"/>
      <c r="AC944" s="1413"/>
      <c r="AD944" s="1413"/>
      <c r="AE944" s="1413"/>
      <c r="AF944" s="1414"/>
      <c r="AZ944" s="34"/>
      <c r="BA944" s="34"/>
      <c r="BB944" s="34"/>
      <c r="BC944" s="34"/>
    </row>
    <row r="945" spans="1:55" ht="12.95" customHeight="1">
      <c r="F945" s="45" t="s">
        <v>807</v>
      </c>
      <c r="G945" s="5"/>
      <c r="H945" s="5"/>
      <c r="I945" s="5"/>
      <c r="J945" s="5"/>
      <c r="K945" s="5"/>
      <c r="L945" s="5"/>
      <c r="M945" s="5"/>
      <c r="N945" s="5"/>
      <c r="O945" s="5"/>
      <c r="P945" s="1406" t="s">
        <v>670</v>
      </c>
      <c r="Q945" s="1407"/>
      <c r="R945" s="1407"/>
      <c r="S945" s="1407"/>
      <c r="T945" s="1408"/>
      <c r="U945" s="1406" t="s">
        <v>592</v>
      </c>
      <c r="V945" s="1407"/>
      <c r="W945" s="1407"/>
      <c r="X945" s="1407"/>
      <c r="Y945" s="1407"/>
      <c r="Z945" s="1408"/>
      <c r="AA945" s="1412"/>
      <c r="AB945" s="1413"/>
      <c r="AC945" s="1413"/>
      <c r="AD945" s="1413"/>
      <c r="AE945" s="1413"/>
      <c r="AF945" s="1414"/>
      <c r="AZ945" s="34"/>
      <c r="BA945" s="34"/>
      <c r="BB945" s="34"/>
      <c r="BC945" s="34"/>
    </row>
    <row r="946" spans="1:55" ht="12.95" customHeight="1">
      <c r="F946" s="1618" t="s">
        <v>2193</v>
      </c>
      <c r="G946" s="1619"/>
      <c r="H946" s="1620"/>
      <c r="I946" s="1610" t="s">
        <v>334</v>
      </c>
      <c r="J946" s="1611"/>
      <c r="K946" s="1611"/>
      <c r="L946" s="1611"/>
      <c r="M946" s="1611"/>
      <c r="N946" s="1611"/>
      <c r="O946" s="1611"/>
      <c r="P946" s="1611"/>
      <c r="Q946" s="1611"/>
      <c r="R946" s="1611"/>
      <c r="S946" s="1611"/>
      <c r="T946" s="1612"/>
      <c r="U946" s="1406" t="s">
        <v>592</v>
      </c>
      <c r="V946" s="1407"/>
      <c r="W946" s="1407"/>
      <c r="X946" s="1407"/>
      <c r="Y946" s="1407"/>
      <c r="Z946" s="1408"/>
      <c r="AA946" s="1412"/>
      <c r="AB946" s="1413"/>
      <c r="AC946" s="1413"/>
      <c r="AD946" s="1413"/>
      <c r="AE946" s="1413"/>
      <c r="AF946" s="1414"/>
      <c r="AZ946" s="34"/>
      <c r="BA946" s="34"/>
      <c r="BB946" s="34"/>
      <c r="BC946" s="34"/>
    </row>
    <row r="947" spans="1:55" ht="12.95" customHeight="1">
      <c r="F947" s="45" t="s">
        <v>86</v>
      </c>
      <c r="G947" s="48"/>
      <c r="H947" s="48"/>
      <c r="I947" s="1610" t="s">
        <v>334</v>
      </c>
      <c r="J947" s="1611"/>
      <c r="K947" s="1611"/>
      <c r="L947" s="1611"/>
      <c r="M947" s="1611"/>
      <c r="N947" s="1611"/>
      <c r="O947" s="1611"/>
      <c r="P947" s="1611"/>
      <c r="Q947" s="1611"/>
      <c r="R947" s="1611"/>
      <c r="S947" s="1611"/>
      <c r="T947" s="1612"/>
      <c r="U947" s="1406" t="s">
        <v>592</v>
      </c>
      <c r="V947" s="1407"/>
      <c r="W947" s="1407"/>
      <c r="X947" s="1407"/>
      <c r="Y947" s="1407"/>
      <c r="Z947" s="1408"/>
      <c r="AA947" s="1412"/>
      <c r="AB947" s="1413"/>
      <c r="AC947" s="1413"/>
      <c r="AD947" s="1413"/>
      <c r="AE947" s="1413"/>
      <c r="AF947" s="1414"/>
      <c r="AZ947" s="34"/>
      <c r="BA947" s="34"/>
      <c r="BB947" s="34"/>
      <c r="BC947" s="34"/>
    </row>
    <row r="948" spans="1:55" ht="12.95" customHeight="1">
      <c r="F948" s="45" t="s">
        <v>10</v>
      </c>
      <c r="G948" s="48"/>
      <c r="H948" s="48"/>
      <c r="I948" s="1610" t="s">
        <v>2715</v>
      </c>
      <c r="J948" s="1555"/>
      <c r="K948" s="1555"/>
      <c r="L948" s="1555"/>
      <c r="M948" s="1555"/>
      <c r="N948" s="1555"/>
      <c r="O948" s="1555"/>
      <c r="P948" s="1555"/>
      <c r="Q948" s="1555"/>
      <c r="R948" s="1555"/>
      <c r="S948" s="1555"/>
      <c r="T948" s="1556"/>
      <c r="U948" s="1406" t="s">
        <v>546</v>
      </c>
      <c r="V948" s="1407"/>
      <c r="W948" s="1407"/>
      <c r="X948" s="1407"/>
      <c r="Y948" s="1407"/>
      <c r="Z948" s="1408"/>
      <c r="AA948" s="1412">
        <f>AO629</f>
        <v>20000000</v>
      </c>
      <c r="AB948" s="1413"/>
      <c r="AC948" s="1413"/>
      <c r="AD948" s="1413"/>
      <c r="AE948" s="1413"/>
      <c r="AF948" s="1414"/>
      <c r="AV948" s="2"/>
      <c r="AW948" s="2"/>
      <c r="AX948" s="2"/>
      <c r="AY948" s="2"/>
      <c r="AZ948" s="34"/>
      <c r="BA948" s="34"/>
      <c r="BB948" s="34"/>
      <c r="BC948" s="34"/>
    </row>
    <row r="949" spans="1:55" ht="12.95" customHeight="1">
      <c r="F949" s="47" t="s">
        <v>170</v>
      </c>
      <c r="G949" s="48"/>
      <c r="H949" s="48"/>
      <c r="I949" s="1554" t="s">
        <v>334</v>
      </c>
      <c r="J949" s="1555"/>
      <c r="K949" s="1555"/>
      <c r="L949" s="1555"/>
      <c r="M949" s="1555"/>
      <c r="N949" s="1555"/>
      <c r="O949" s="1555"/>
      <c r="P949" s="1555"/>
      <c r="Q949" s="1555"/>
      <c r="R949" s="1555"/>
      <c r="S949" s="1555"/>
      <c r="T949" s="1556"/>
      <c r="U949" s="1406" t="s">
        <v>592</v>
      </c>
      <c r="V949" s="1407"/>
      <c r="W949" s="1407"/>
      <c r="X949" s="1407"/>
      <c r="Y949" s="1407"/>
      <c r="Z949" s="1408"/>
      <c r="AA949" s="1412"/>
      <c r="AB949" s="1413"/>
      <c r="AC949" s="1413"/>
      <c r="AD949" s="1413"/>
      <c r="AE949" s="1413"/>
      <c r="AF949" s="1414"/>
      <c r="AU949" s="2"/>
      <c r="AZ949" s="34"/>
      <c r="BA949" s="34"/>
      <c r="BB949" s="34"/>
      <c r="BC949" s="34"/>
    </row>
    <row r="950" spans="1:55" ht="12.95" customHeight="1">
      <c r="F950" s="47" t="s">
        <v>170</v>
      </c>
      <c r="G950" s="48"/>
      <c r="H950" s="48"/>
      <c r="I950" s="1554" t="s">
        <v>334</v>
      </c>
      <c r="J950" s="1555"/>
      <c r="K950" s="1555"/>
      <c r="L950" s="1555"/>
      <c r="M950" s="1555"/>
      <c r="N950" s="1555"/>
      <c r="O950" s="1555"/>
      <c r="P950" s="1555"/>
      <c r="Q950" s="1555"/>
      <c r="R950" s="1555"/>
      <c r="S950" s="1555"/>
      <c r="T950" s="1556"/>
      <c r="U950" s="1406" t="s">
        <v>592</v>
      </c>
      <c r="V950" s="1407"/>
      <c r="W950" s="1407"/>
      <c r="X950" s="1407"/>
      <c r="Y950" s="1407"/>
      <c r="Z950" s="1408"/>
      <c r="AA950" s="1412"/>
      <c r="AB950" s="1413"/>
      <c r="AC950" s="1413"/>
      <c r="AD950" s="1413"/>
      <c r="AE950" s="1413"/>
      <c r="AF950" s="1414"/>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51">
        <v>45491</v>
      </c>
      <c r="N955" s="1552"/>
      <c r="O955" s="1552"/>
      <c r="P955" s="1552"/>
      <c r="Q955" s="1552"/>
      <c r="R955" s="1552"/>
      <c r="S955" s="1553"/>
      <c r="U955" s="66" t="s">
        <v>11</v>
      </c>
      <c r="V955" s="5"/>
      <c r="W955" s="5"/>
      <c r="X955" s="5"/>
      <c r="Y955" s="5"/>
      <c r="Z955" s="5"/>
      <c r="AA955" s="5"/>
      <c r="AB955" s="5"/>
      <c r="AC955" s="5"/>
      <c r="AD955" s="46"/>
      <c r="AE955" s="1551"/>
      <c r="AF955" s="1552"/>
      <c r="AG955" s="1552"/>
      <c r="AH955" s="1552"/>
      <c r="AI955" s="1552"/>
      <c r="AJ955" s="1552"/>
      <c r="AK955" s="1553"/>
      <c r="AZ955" s="34"/>
      <c r="BA955" s="34"/>
      <c r="BB955" s="34"/>
      <c r="BC955" s="34"/>
    </row>
    <row r="956" spans="1:55" ht="12.95" customHeight="1">
      <c r="C956" s="66" t="s">
        <v>12</v>
      </c>
      <c r="D956" s="5"/>
      <c r="E956" s="5"/>
      <c r="F956" s="5"/>
      <c r="G956" s="5"/>
      <c r="H956" s="5"/>
      <c r="I956" s="5"/>
      <c r="J956" s="5"/>
      <c r="K956" s="5"/>
      <c r="L956" s="46"/>
      <c r="M956" s="1563" t="s">
        <v>2716</v>
      </c>
      <c r="N956" s="1473"/>
      <c r="O956" s="1473"/>
      <c r="P956" s="1473"/>
      <c r="Q956" s="1473"/>
      <c r="R956" s="1473"/>
      <c r="S956" s="1564"/>
      <c r="U956" s="66" t="s">
        <v>12</v>
      </c>
      <c r="V956" s="5"/>
      <c r="W956" s="5"/>
      <c r="X956" s="5"/>
      <c r="Y956" s="5"/>
      <c r="Z956" s="5"/>
      <c r="AA956" s="5"/>
      <c r="AB956" s="5"/>
      <c r="AC956" s="5"/>
      <c r="AD956" s="46"/>
      <c r="AE956" s="1563"/>
      <c r="AF956" s="1473"/>
      <c r="AG956" s="1473"/>
      <c r="AH956" s="1473"/>
      <c r="AI956" s="1473"/>
      <c r="AJ956" s="1473"/>
      <c r="AK956" s="1564"/>
      <c r="AZ956" s="34"/>
      <c r="BA956" s="34"/>
      <c r="BB956" s="34"/>
      <c r="BC956" s="34"/>
    </row>
    <row r="957" spans="1:55" ht="12.95" customHeight="1">
      <c r="C957" s="66" t="s">
        <v>881</v>
      </c>
      <c r="D957" s="5"/>
      <c r="E957" s="5"/>
      <c r="J957" s="1570" t="s">
        <v>2717</v>
      </c>
      <c r="K957" s="1571"/>
      <c r="L957" s="1571"/>
      <c r="M957" s="1571"/>
      <c r="N957" s="1571"/>
      <c r="O957" s="1571"/>
      <c r="P957" s="1571"/>
      <c r="Q957" s="1571"/>
      <c r="R957" s="1571"/>
      <c r="S957" s="1572"/>
      <c r="U957" s="66" t="s">
        <v>881</v>
      </c>
      <c r="V957" s="5"/>
      <c r="W957" s="5"/>
      <c r="AB957" s="1570" t="s">
        <v>307</v>
      </c>
      <c r="AC957" s="1571"/>
      <c r="AD957" s="1571"/>
      <c r="AE957" s="1571"/>
      <c r="AF957" s="1571"/>
      <c r="AG957" s="1571"/>
      <c r="AH957" s="1571"/>
      <c r="AI957" s="1571"/>
      <c r="AJ957" s="1571"/>
      <c r="AK957" s="1572"/>
      <c r="AZ957" s="34"/>
      <c r="BA957" s="34"/>
      <c r="BB957" s="34"/>
      <c r="BC957" s="34"/>
    </row>
    <row r="958" spans="1:55" ht="12.95" customHeight="1">
      <c r="C958" s="66" t="s">
        <v>13</v>
      </c>
      <c r="D958" s="5"/>
      <c r="E958" s="5"/>
      <c r="F958" s="5"/>
      <c r="G958" s="5"/>
      <c r="H958" s="5"/>
      <c r="I958" s="5"/>
      <c r="J958" s="5"/>
      <c r="K958" s="5"/>
      <c r="L958" s="46"/>
      <c r="M958" s="1654">
        <f>75/149</f>
        <v>0.50335570469798663</v>
      </c>
      <c r="N958" s="1614"/>
      <c r="O958" s="1614"/>
      <c r="P958" s="1614"/>
      <c r="Q958" s="1614"/>
      <c r="R958" s="1614"/>
      <c r="S958" s="1615"/>
      <c r="U958" s="66" t="s">
        <v>13</v>
      </c>
      <c r="V958" s="5"/>
      <c r="W958" s="5"/>
      <c r="X958" s="5"/>
      <c r="Y958" s="5"/>
      <c r="Z958" s="5"/>
      <c r="AA958" s="5"/>
      <c r="AB958" s="5"/>
      <c r="AC958" s="5"/>
      <c r="AD958" s="46"/>
      <c r="AE958" s="1613"/>
      <c r="AF958" s="1614"/>
      <c r="AG958" s="1614"/>
      <c r="AH958" s="1614"/>
      <c r="AI958" s="1614"/>
      <c r="AJ958" s="1614"/>
      <c r="AK958" s="1615"/>
      <c r="AZ958" s="34"/>
      <c r="BA958" s="34"/>
      <c r="BB958" s="34"/>
      <c r="BC958" s="34"/>
    </row>
    <row r="959" spans="1:55" ht="12.95" customHeight="1">
      <c r="C959" s="66" t="s">
        <v>14</v>
      </c>
      <c r="D959" s="5"/>
      <c r="E959" s="5"/>
      <c r="F959" s="5"/>
      <c r="G959" s="5"/>
      <c r="H959" s="5"/>
      <c r="I959" s="5"/>
      <c r="J959" s="5"/>
      <c r="K959" s="5"/>
      <c r="L959" s="46"/>
      <c r="M959" s="1577">
        <v>75</v>
      </c>
      <c r="N959" s="1578"/>
      <c r="O959" s="1578"/>
      <c r="P959" s="1578"/>
      <c r="Q959" s="1578"/>
      <c r="R959" s="1578"/>
      <c r="S959" s="1579"/>
      <c r="U959" s="66" t="s">
        <v>14</v>
      </c>
      <c r="V959" s="5"/>
      <c r="W959" s="5"/>
      <c r="X959" s="5"/>
      <c r="Y959" s="5"/>
      <c r="Z959" s="5"/>
      <c r="AA959" s="5"/>
      <c r="AB959" s="5"/>
      <c r="AC959" s="5"/>
      <c r="AD959" s="46"/>
      <c r="AE959" s="1577"/>
      <c r="AF959" s="1578"/>
      <c r="AG959" s="1578"/>
      <c r="AH959" s="1578"/>
      <c r="AI959" s="1578"/>
      <c r="AJ959" s="1578"/>
      <c r="AK959" s="1579"/>
      <c r="AV959" s="2"/>
      <c r="AW959" s="2"/>
      <c r="AX959" s="2"/>
      <c r="AY959" s="2"/>
      <c r="AZ959" s="34"/>
      <c r="BA959" s="34"/>
      <c r="BB959" s="34"/>
      <c r="BC959" s="34"/>
    </row>
    <row r="960" spans="1:55" ht="12.95" customHeight="1">
      <c r="C960" s="66" t="s">
        <v>15</v>
      </c>
      <c r="D960" s="5"/>
      <c r="E960" s="5"/>
      <c r="F960" s="5"/>
      <c r="G960" s="5"/>
      <c r="H960" s="5"/>
      <c r="I960" s="5"/>
      <c r="J960" s="5"/>
      <c r="K960" s="5"/>
      <c r="L960" s="46"/>
      <c r="M960" s="1412">
        <f>'Subsidy Contract Calculation'!J40</f>
        <v>976320</v>
      </c>
      <c r="N960" s="1413"/>
      <c r="O960" s="1413"/>
      <c r="P960" s="1413"/>
      <c r="Q960" s="1413"/>
      <c r="R960" s="1413"/>
      <c r="S960" s="1414"/>
      <c r="U960" s="66" t="s">
        <v>15</v>
      </c>
      <c r="V960" s="5"/>
      <c r="W960" s="5"/>
      <c r="X960" s="5"/>
      <c r="Y960" s="5"/>
      <c r="Z960" s="5"/>
      <c r="AA960" s="5"/>
      <c r="AB960" s="5"/>
      <c r="AC960" s="5"/>
      <c r="AD960" s="46"/>
      <c r="AE960" s="1412"/>
      <c r="AF960" s="1413"/>
      <c r="AG960" s="1413"/>
      <c r="AH960" s="1413"/>
      <c r="AI960" s="1413"/>
      <c r="AJ960" s="1413"/>
      <c r="AK960" s="1414"/>
      <c r="AV960" s="2"/>
      <c r="AW960" s="2"/>
      <c r="AX960" s="2"/>
      <c r="AY960" s="2"/>
      <c r="AZ960" s="34"/>
      <c r="BA960" s="34"/>
      <c r="BB960" s="34"/>
      <c r="BC960" s="34"/>
    </row>
    <row r="961" spans="1:64" ht="12.95" customHeight="1">
      <c r="C961" s="66" t="s">
        <v>16</v>
      </c>
      <c r="D961" s="5"/>
      <c r="E961" s="5"/>
      <c r="F961" s="5"/>
      <c r="G961" s="5"/>
      <c r="H961" s="5"/>
      <c r="I961" s="5"/>
      <c r="J961" s="5"/>
      <c r="K961" s="5"/>
      <c r="L961" s="46"/>
      <c r="M961" s="1412">
        <f>M960*M962</f>
        <v>19526400</v>
      </c>
      <c r="N961" s="1413"/>
      <c r="O961" s="1413"/>
      <c r="P961" s="1413"/>
      <c r="Q961" s="1413"/>
      <c r="R961" s="1413"/>
      <c r="S961" s="1414"/>
      <c r="U961" s="66" t="s">
        <v>16</v>
      </c>
      <c r="V961" s="5"/>
      <c r="W961" s="5"/>
      <c r="X961" s="5"/>
      <c r="Y961" s="5"/>
      <c r="Z961" s="5"/>
      <c r="AA961" s="5"/>
      <c r="AB961" s="5"/>
      <c r="AC961" s="5"/>
      <c r="AD961" s="46"/>
      <c r="AE961" s="1412"/>
      <c r="AF961" s="1413"/>
      <c r="AG961" s="1413"/>
      <c r="AH961" s="1413"/>
      <c r="AI961" s="1413"/>
      <c r="AJ961" s="1413"/>
      <c r="AK961" s="1414"/>
      <c r="AV961" s="2"/>
      <c r="AW961" s="2"/>
      <c r="AX961" s="2"/>
      <c r="AY961" s="2"/>
      <c r="AZ961" s="34"/>
      <c r="BB961" s="34"/>
      <c r="BC961" s="34"/>
    </row>
    <row r="962" spans="1:64" ht="12.95" customHeight="1">
      <c r="C962" s="121" t="s">
        <v>1662</v>
      </c>
      <c r="D962" s="5"/>
      <c r="E962" s="5"/>
      <c r="F962" s="5"/>
      <c r="G962" s="5"/>
      <c r="H962" s="5"/>
      <c r="I962" s="5"/>
      <c r="J962" s="5"/>
      <c r="K962" s="5"/>
      <c r="L962" s="46"/>
      <c r="M962" s="1409">
        <v>20</v>
      </c>
      <c r="N962" s="1410"/>
      <c r="O962" s="1410"/>
      <c r="P962" s="1410"/>
      <c r="Q962" s="1410"/>
      <c r="R962" s="1410"/>
      <c r="S962" s="1411"/>
      <c r="U962" s="121" t="s">
        <v>1662</v>
      </c>
      <c r="V962" s="5"/>
      <c r="W962" s="5"/>
      <c r="X962" s="5"/>
      <c r="Y962" s="5"/>
      <c r="Z962" s="5"/>
      <c r="AA962" s="5"/>
      <c r="AB962" s="5"/>
      <c r="AC962" s="5"/>
      <c r="AD962" s="46"/>
      <c r="AE962" s="1409"/>
      <c r="AF962" s="1410"/>
      <c r="AG962" s="1410"/>
      <c r="AH962" s="1410"/>
      <c r="AI962" s="1410"/>
      <c r="AJ962" s="1410"/>
      <c r="AK962" s="1411"/>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48"/>
      <c r="N967" s="1549"/>
      <c r="O967" s="1549"/>
      <c r="P967" s="1549"/>
      <c r="Q967" s="1549"/>
      <c r="R967" s="1549"/>
      <c r="S967" s="1550"/>
      <c r="T967" s="66" t="s">
        <v>791</v>
      </c>
      <c r="U967" s="5"/>
      <c r="V967" s="5"/>
      <c r="W967" s="5"/>
      <c r="X967" s="5"/>
      <c r="Y967" s="5"/>
      <c r="Z967" s="46"/>
      <c r="AA967" s="1548"/>
      <c r="AB967" s="1549"/>
      <c r="AC967" s="1549"/>
      <c r="AD967" s="1549"/>
      <c r="AE967" s="1549"/>
      <c r="AF967" s="1549"/>
      <c r="AG967" s="155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48"/>
      <c r="N968" s="1549"/>
      <c r="O968" s="1549"/>
      <c r="P968" s="1549"/>
      <c r="Q968" s="1549"/>
      <c r="R968" s="1549"/>
      <c r="S968" s="1550"/>
      <c r="T968" s="66" t="s">
        <v>790</v>
      </c>
      <c r="U968" s="5"/>
      <c r="V968" s="5"/>
      <c r="W968" s="5"/>
      <c r="X968" s="5"/>
      <c r="Y968" s="5"/>
      <c r="Z968" s="46"/>
      <c r="AA968" s="1548"/>
      <c r="AB968" s="1549"/>
      <c r="AC968" s="1549"/>
      <c r="AD968" s="1549"/>
      <c r="AE968" s="1549"/>
      <c r="AF968" s="1549"/>
      <c r="AG968" s="15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55" t="s">
        <v>592</v>
      </c>
      <c r="N969" s="1656"/>
      <c r="O969" s="1656"/>
      <c r="P969" s="1656"/>
      <c r="Q969" s="1656"/>
      <c r="R969" s="1656"/>
      <c r="S969" s="1657"/>
      <c r="T969" s="45" t="s">
        <v>337</v>
      </c>
      <c r="U969" s="5"/>
      <c r="V969" s="5"/>
      <c r="W969" s="5"/>
      <c r="X969" s="5"/>
      <c r="Y969" s="5"/>
      <c r="Z969" s="46"/>
      <c r="AA969" s="1548"/>
      <c r="AB969" s="1549"/>
      <c r="AC969" s="1549"/>
      <c r="AD969" s="1549"/>
      <c r="AE969" s="1549"/>
      <c r="AF969" s="1549"/>
      <c r="AG969" s="15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48"/>
      <c r="N970" s="1549"/>
      <c r="O970" s="1549"/>
      <c r="P970" s="1549"/>
      <c r="Q970" s="1549"/>
      <c r="R970" s="1549"/>
      <c r="S970" s="1550"/>
      <c r="T970" s="45" t="s">
        <v>338</v>
      </c>
      <c r="U970" s="5"/>
      <c r="V970" s="5"/>
      <c r="W970" s="5"/>
      <c r="X970" s="5"/>
      <c r="Y970" s="5"/>
      <c r="Z970" s="46"/>
      <c r="AA970" s="1548"/>
      <c r="AB970" s="1549"/>
      <c r="AC970" s="1549"/>
      <c r="AD970" s="1549"/>
      <c r="AE970" s="1549"/>
      <c r="AF970" s="1549"/>
      <c r="AG970" s="15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48"/>
      <c r="N971" s="1549"/>
      <c r="O971" s="1549"/>
      <c r="P971" s="1549"/>
      <c r="Q971" s="1549"/>
      <c r="R971" s="1549"/>
      <c r="S971" s="1550"/>
      <c r="T971" s="45" t="s">
        <v>376</v>
      </c>
      <c r="U971" s="5"/>
      <c r="V971" s="5"/>
      <c r="W971" s="5"/>
      <c r="X971" s="5"/>
      <c r="Y971" s="5"/>
      <c r="Z971" s="46"/>
      <c r="AA971" s="1548"/>
      <c r="AB971" s="1549"/>
      <c r="AC971" s="1549"/>
      <c r="AD971" s="1549"/>
      <c r="AE971" s="1549"/>
      <c r="AF971" s="1549"/>
      <c r="AG971" s="155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70" t="s">
        <v>307</v>
      </c>
      <c r="N972" s="1571"/>
      <c r="O972" s="1571"/>
      <c r="P972" s="1571"/>
      <c r="Q972" s="1571"/>
      <c r="R972" s="1571"/>
      <c r="S972" s="1572"/>
      <c r="T972" s="1574"/>
      <c r="U972" s="1575"/>
      <c r="V972" s="1575"/>
      <c r="W972" s="1575"/>
      <c r="X972" s="1575"/>
      <c r="Y972" s="1575"/>
      <c r="Z972" s="1576"/>
      <c r="AA972" s="1548"/>
      <c r="AB972" s="1549"/>
      <c r="AC972" s="1549"/>
      <c r="AD972" s="1549"/>
      <c r="AE972" s="1549"/>
      <c r="AF972" s="1549"/>
      <c r="AG972" s="15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48"/>
      <c r="N973" s="1549"/>
      <c r="O973" s="1549"/>
      <c r="P973" s="1549"/>
      <c r="Q973" s="1549"/>
      <c r="R973" s="1549"/>
      <c r="S973" s="1550"/>
      <c r="T973" s="1574"/>
      <c r="U973" s="1575"/>
      <c r="V973" s="1575"/>
      <c r="W973" s="1575"/>
      <c r="X973" s="1575"/>
      <c r="Y973" s="1575"/>
      <c r="Z973" s="1576"/>
      <c r="AA973" s="1548"/>
      <c r="AB973" s="1549"/>
      <c r="AC973" s="1549"/>
      <c r="AD973" s="1549"/>
      <c r="AE973" s="1549"/>
      <c r="AF973" s="1549"/>
      <c r="AG973" s="155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94" t="s">
        <v>670</v>
      </c>
      <c r="P974" s="1595"/>
      <c r="Q974" s="92"/>
      <c r="R974" s="92"/>
      <c r="S974" s="93"/>
      <c r="T974" s="41" t="s">
        <v>170</v>
      </c>
      <c r="U974" s="42"/>
      <c r="V974" s="42"/>
      <c r="W974" s="1580" t="s">
        <v>334</v>
      </c>
      <c r="X974" s="1581"/>
      <c r="Y974" s="1581"/>
      <c r="Z974" s="1581"/>
      <c r="AA974" s="1581"/>
      <c r="AB974" s="1581"/>
      <c r="AC974" s="1581"/>
      <c r="AD974" s="1581"/>
      <c r="AE974" s="1581"/>
      <c r="AF974" s="1581"/>
      <c r="AG974" s="1582"/>
      <c r="AU974" s="68"/>
      <c r="AV974" s="95"/>
      <c r="AW974" s="95"/>
      <c r="AX974" s="95"/>
      <c r="AY974" s="95"/>
      <c r="AZ974" s="34"/>
      <c r="BB974" s="34"/>
      <c r="BC974" s="34"/>
      <c r="BD974" s="34"/>
      <c r="BE974" s="34"/>
      <c r="BF974" s="34"/>
      <c r="BG974" s="34"/>
      <c r="BH974" s="34"/>
      <c r="BI974" s="34"/>
      <c r="BJ974" s="34"/>
      <c r="BK974" s="34"/>
      <c r="BL974" s="34"/>
    </row>
    <row r="975" spans="1:64" ht="12.95" customHeight="1">
      <c r="F975" s="1565" t="s">
        <v>33</v>
      </c>
      <c r="G975" s="1363"/>
      <c r="H975" s="1363"/>
      <c r="I975" s="1363"/>
      <c r="J975" s="1363"/>
      <c r="K975" s="1363"/>
      <c r="L975" s="1363"/>
      <c r="M975" s="1548"/>
      <c r="N975" s="1549"/>
      <c r="O975" s="1549"/>
      <c r="P975" s="1549"/>
      <c r="Q975" s="1549"/>
      <c r="R975" s="1549"/>
      <c r="S975" s="1550"/>
      <c r="T975" s="47"/>
      <c r="U975" s="48"/>
      <c r="V975" s="48"/>
      <c r="W975" s="48"/>
      <c r="X975" s="48"/>
      <c r="Y975" s="48"/>
      <c r="Z975" s="124" t="s">
        <v>134</v>
      </c>
      <c r="AA975" s="1607"/>
      <c r="AB975" s="1608"/>
      <c r="AC975" s="1608"/>
      <c r="AD975" s="1608"/>
      <c r="AE975" s="1608"/>
      <c r="AF975" s="1608"/>
      <c r="AG975" s="1609"/>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45"/>
      <c r="BH976" s="1645"/>
      <c r="BI976" s="1645"/>
      <c r="BJ976" s="1645"/>
      <c r="BK976" s="1645"/>
      <c r="BL976" s="1645"/>
    </row>
    <row r="977" spans="1:64" ht="12.95" customHeight="1">
      <c r="AU977" s="68"/>
      <c r="AV977" s="68"/>
      <c r="AW977" s="68"/>
      <c r="AX977" s="68"/>
      <c r="AY977" s="68"/>
      <c r="AZ977" s="14"/>
      <c r="BA977" s="14"/>
      <c r="BB977" s="911"/>
      <c r="BC977" s="911"/>
      <c r="BD977" s="14"/>
      <c r="BE977" s="14"/>
      <c r="BF977" s="14"/>
      <c r="BG977" s="14"/>
      <c r="BH977" s="14"/>
      <c r="BI977" s="14"/>
      <c r="BJ977" s="14"/>
      <c r="BK977" s="14"/>
      <c r="BL977" s="14"/>
    </row>
    <row r="978" spans="1:64" ht="12.95" customHeight="1">
      <c r="AU978" s="68"/>
      <c r="AV978" s="68"/>
      <c r="AW978" s="68"/>
      <c r="AX978" s="68"/>
      <c r="AY978" s="68"/>
      <c r="AZ978" s="14"/>
      <c r="BA978" s="14"/>
      <c r="BB978" s="911"/>
      <c r="BC978" s="911"/>
    </row>
    <row r="979" spans="1:64" ht="12.95" customHeight="1">
      <c r="A979" s="1427" t="s">
        <v>549</v>
      </c>
      <c r="B979" s="1427"/>
      <c r="C979" s="1427"/>
      <c r="D979" s="1427"/>
      <c r="E979" s="1427"/>
      <c r="F979" s="1427"/>
      <c r="G979" s="1427"/>
      <c r="H979" s="1427"/>
      <c r="I979" s="1427"/>
      <c r="J979" s="1427"/>
      <c r="K979" s="1427"/>
      <c r="L979" s="1427"/>
      <c r="M979" s="1427"/>
      <c r="N979" s="1427"/>
      <c r="O979" s="1427"/>
      <c r="P979" s="1427"/>
      <c r="Q979" s="1427"/>
      <c r="R979" s="1427"/>
      <c r="S979" s="1427"/>
      <c r="T979" s="1427"/>
      <c r="U979" s="1427"/>
      <c r="V979" s="1427"/>
      <c r="W979" s="1427"/>
      <c r="X979" s="1427"/>
      <c r="Y979" s="1427"/>
      <c r="Z979" s="1427"/>
      <c r="AA979" s="1427"/>
      <c r="AB979" s="1427"/>
      <c r="AC979" s="1427"/>
      <c r="AD979" s="1427"/>
      <c r="AE979" s="1427"/>
      <c r="AF979" s="1427"/>
      <c r="AG979" s="1427"/>
      <c r="AH979" s="1427"/>
      <c r="AI979" s="1427"/>
      <c r="AJ979" s="1427"/>
      <c r="AK979" s="1427"/>
      <c r="AL979" s="1427"/>
      <c r="AM979" s="1427"/>
      <c r="AN979" s="1427"/>
      <c r="AO979" s="1427"/>
      <c r="AP979" s="1427"/>
      <c r="AQ979" s="1427"/>
      <c r="AR979" s="1427"/>
      <c r="AS979" s="1427"/>
      <c r="AT979" s="1427"/>
      <c r="AU979" s="68"/>
      <c r="AV979" s="68"/>
      <c r="AW979" s="68"/>
      <c r="AX979" s="68"/>
      <c r="AY979" s="68"/>
      <c r="AZ979" s="14"/>
      <c r="BA979" s="14"/>
      <c r="BB979" s="911"/>
      <c r="BC979" s="911"/>
    </row>
    <row r="980" spans="1:64" ht="12.95" customHeight="1">
      <c r="A980" s="1427"/>
      <c r="B980" s="1427"/>
      <c r="C980" s="1427"/>
      <c r="D980" s="1427"/>
      <c r="E980" s="1427"/>
      <c r="F980" s="1427"/>
      <c r="G980" s="1427"/>
      <c r="H980" s="1427"/>
      <c r="I980" s="1427"/>
      <c r="J980" s="1427"/>
      <c r="K980" s="1427"/>
      <c r="L980" s="1427"/>
      <c r="M980" s="1427"/>
      <c r="N980" s="1427"/>
      <c r="O980" s="1427"/>
      <c r="P980" s="1427"/>
      <c r="Q980" s="1427"/>
      <c r="R980" s="1427"/>
      <c r="S980" s="1427"/>
      <c r="T980" s="1427"/>
      <c r="U980" s="1427"/>
      <c r="V980" s="1427"/>
      <c r="W980" s="1427"/>
      <c r="X980" s="1427"/>
      <c r="Y980" s="1427"/>
      <c r="Z980" s="1427"/>
      <c r="AA980" s="1427"/>
      <c r="AB980" s="1427"/>
      <c r="AC980" s="1427"/>
      <c r="AD980" s="1427"/>
      <c r="AE980" s="1427"/>
      <c r="AF980" s="1427"/>
      <c r="AG980" s="1427"/>
      <c r="AH980" s="1427"/>
      <c r="AI980" s="1427"/>
      <c r="AJ980" s="1427"/>
      <c r="AK980" s="1427"/>
      <c r="AL980" s="1427"/>
      <c r="AM980" s="1427"/>
      <c r="AN980" s="1427"/>
      <c r="AO980" s="1427"/>
      <c r="AP980" s="1427"/>
      <c r="AQ980" s="1427"/>
      <c r="AR980" s="1427"/>
      <c r="AS980" s="1427"/>
      <c r="AT980" s="1427"/>
      <c r="AU980" s="68"/>
      <c r="AV980" s="68"/>
      <c r="AW980" s="68"/>
      <c r="AX980" s="68"/>
      <c r="AY980" s="68"/>
      <c r="AZ980" s="30"/>
      <c r="BA980" s="14"/>
      <c r="BB980" s="14"/>
      <c r="BC980" s="14"/>
    </row>
    <row r="981" spans="1:64" ht="12.95" customHeight="1">
      <c r="A981" s="1427"/>
      <c r="B981" s="1427"/>
      <c r="C981" s="1427"/>
      <c r="D981" s="1427"/>
      <c r="E981" s="1427"/>
      <c r="F981" s="1427"/>
      <c r="G981" s="1427"/>
      <c r="H981" s="1427"/>
      <c r="I981" s="1427"/>
      <c r="J981" s="1427"/>
      <c r="K981" s="1427"/>
      <c r="L981" s="1427"/>
      <c r="M981" s="1427"/>
      <c r="N981" s="1427"/>
      <c r="O981" s="1427"/>
      <c r="P981" s="1427"/>
      <c r="Q981" s="1427"/>
      <c r="R981" s="1427"/>
      <c r="S981" s="1427"/>
      <c r="T981" s="1427"/>
      <c r="U981" s="1427"/>
      <c r="V981" s="1427"/>
      <c r="W981" s="1427"/>
      <c r="X981" s="1427"/>
      <c r="Y981" s="1427"/>
      <c r="Z981" s="1427"/>
      <c r="AA981" s="1427"/>
      <c r="AB981" s="1427"/>
      <c r="AC981" s="1427"/>
      <c r="AD981" s="1427"/>
      <c r="AE981" s="1427"/>
      <c r="AF981" s="1427"/>
      <c r="AG981" s="1427"/>
      <c r="AH981" s="1427"/>
      <c r="AI981" s="1427"/>
      <c r="AJ981" s="1427"/>
      <c r="AK981" s="1427"/>
      <c r="AL981" s="1427"/>
      <c r="AM981" s="1427"/>
      <c r="AN981" s="1427"/>
      <c r="AO981" s="1427"/>
      <c r="AP981" s="1427"/>
      <c r="AQ981" s="1427"/>
      <c r="AR981" s="1427"/>
      <c r="AS981" s="1427"/>
      <c r="AT981" s="1427"/>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7"/>
      <c r="D985" s="1566" t="s">
        <v>639</v>
      </c>
      <c r="E985" s="1567"/>
      <c r="F985" s="1567"/>
      <c r="G985" s="1567"/>
      <c r="H985" s="1567"/>
      <c r="I985" s="1567"/>
      <c r="J985" s="1567"/>
      <c r="K985" s="1567"/>
      <c r="L985" s="1567"/>
      <c r="M985" s="1567"/>
      <c r="N985" s="1567"/>
      <c r="O985" s="1567"/>
      <c r="P985" s="1567"/>
      <c r="Q985" s="1568"/>
      <c r="R985" s="1566" t="s">
        <v>640</v>
      </c>
      <c r="S985" s="1567"/>
      <c r="T985" s="1567"/>
      <c r="U985" s="1567"/>
      <c r="V985" s="1567"/>
      <c r="W985" s="1567"/>
      <c r="X985" s="1567"/>
      <c r="Y985" s="1567"/>
      <c r="Z985" s="1567"/>
      <c r="AA985" s="1568"/>
      <c r="AB985" s="1566" t="s">
        <v>641</v>
      </c>
      <c r="AC985" s="1567"/>
      <c r="AD985" s="1567"/>
      <c r="AE985" s="1567"/>
      <c r="AF985" s="1567"/>
      <c r="AG985" s="1567"/>
      <c r="AH985" s="1567"/>
      <c r="AI985" s="1568"/>
      <c r="AJ985" s="1566" t="s">
        <v>642</v>
      </c>
      <c r="AK985" s="1567"/>
      <c r="AL985" s="1567"/>
      <c r="AM985" s="1567"/>
      <c r="AN985" s="1567"/>
      <c r="AO985" s="1567"/>
      <c r="AP985" s="1567"/>
      <c r="AQ985" s="1568"/>
      <c r="AR985" s="68"/>
      <c r="AS985" s="68"/>
      <c r="AT985" s="68"/>
      <c r="AU985" s="68"/>
      <c r="AV985" s="68"/>
      <c r="AW985" s="68"/>
      <c r="AX985" s="68"/>
      <c r="AY985" s="68"/>
      <c r="AZ985" s="30"/>
      <c r="BB985" s="14"/>
      <c r="BC985" s="14"/>
    </row>
    <row r="986" spans="1:64" ht="12.95" customHeight="1">
      <c r="A986" s="14"/>
      <c r="B986" s="73"/>
      <c r="C986" s="928"/>
      <c r="D986" s="1391" t="s">
        <v>634</v>
      </c>
      <c r="E986" s="1392"/>
      <c r="F986" s="1392"/>
      <c r="G986" s="1392"/>
      <c r="H986" s="1392"/>
      <c r="I986" s="1392"/>
      <c r="J986" s="1392"/>
      <c r="K986" s="1392"/>
      <c r="L986" s="1392"/>
      <c r="M986" s="1392"/>
      <c r="N986" s="1392"/>
      <c r="O986" s="1392"/>
      <c r="P986" s="1392"/>
      <c r="Q986" s="1393"/>
      <c r="R986" s="1569">
        <f>IF(ISNA(IF($CU$122="4%",(INDEX($CS$160:$CW$217,MATCH($DG$122,$CR$160:$CR$217,0),MATCH(D986,$CS$159:$CW$159,0))),(INDEX($CZ$160:$DD$217,MATCH($DG$122,$CY$160:$CY$217,0),MATCH(D986,$CZ$159:$DD$159,0))))),0,IF($CU$122="4%",(INDEX($CS$160:$CW$217,MATCH($DG$122,$CR$160:$CR$217,0),MATCH(D986,$CS$159:$CW$159,0))),(INDEX($CZ$160:$DD$217,MATCH($DG$122,$CY$160:$CY$217,0),MATCH(D986,$CZ$159:$DD$159,0)))))</f>
        <v>437727</v>
      </c>
      <c r="S986" s="1569"/>
      <c r="T986" s="1569"/>
      <c r="U986" s="1569"/>
      <c r="V986" s="1569"/>
      <c r="W986" s="1569"/>
      <c r="X986" s="1569"/>
      <c r="Y986" s="1569"/>
      <c r="Z986" s="1569"/>
      <c r="AA986" s="1569"/>
      <c r="AB986" s="1394">
        <f>CP802</f>
        <v>120</v>
      </c>
      <c r="AC986" s="1395"/>
      <c r="AD986" s="1395"/>
      <c r="AE986" s="1395"/>
      <c r="AF986" s="1395"/>
      <c r="AG986" s="1395"/>
      <c r="AH986" s="1395"/>
      <c r="AI986" s="1396"/>
      <c r="AJ986" s="1506">
        <f>IF(ISERROR((R986*AB986)),0,(R986*AB986))</f>
        <v>52527240</v>
      </c>
      <c r="AK986" s="1507"/>
      <c r="AL986" s="1507"/>
      <c r="AM986" s="1507"/>
      <c r="AN986" s="1507"/>
      <c r="AO986" s="1507"/>
      <c r="AP986" s="1507"/>
      <c r="AQ986" s="1508"/>
      <c r="AR986" s="68"/>
      <c r="AS986" s="68"/>
      <c r="AT986" s="68"/>
      <c r="AU986" s="68"/>
      <c r="AV986" s="68"/>
      <c r="AW986" s="68"/>
      <c r="AX986" s="68"/>
      <c r="AY986" s="68"/>
      <c r="AZ986" s="30"/>
      <c r="BB986" s="14"/>
      <c r="BC986" s="14"/>
    </row>
    <row r="987" spans="1:64" ht="12.95" customHeight="1">
      <c r="A987" s="14"/>
      <c r="B987" s="73"/>
      <c r="C987" s="83"/>
      <c r="D987" s="1391" t="s">
        <v>325</v>
      </c>
      <c r="E987" s="1392"/>
      <c r="F987" s="1392"/>
      <c r="G987" s="1392"/>
      <c r="H987" s="1392"/>
      <c r="I987" s="1392"/>
      <c r="J987" s="1392"/>
      <c r="K987" s="1392"/>
      <c r="L987" s="1392"/>
      <c r="M987" s="1392"/>
      <c r="N987" s="1392"/>
      <c r="O987" s="1392"/>
      <c r="P987" s="1392"/>
      <c r="Q987" s="1393"/>
      <c r="R987" s="1569">
        <f>IF(ISNA(IF($CU$122="4%",(INDEX($CS$160:$CW$217,MATCH($DG$122,$CR$160:$CR$217,0),MATCH(D987,$CS$159:$CW$159,0))),(INDEX($CZ$160:$DD$217,MATCH($DG$122,$CY$160:$CY$217,0),MATCH(D987,$CZ$159:$DD$159,0))))),0,IF($CU$122="4%",(INDEX($CS$160:$CW$217,MATCH($DG$122,$CR$160:$CR$217,0),MATCH(D987,$CS$159:$CW$159,0))),(INDEX($CZ$160:$DD$217,MATCH($DG$122,$CY$160:$CY$217,0),MATCH(D987,$CZ$159:$DD$159,0)))))</f>
        <v>504695</v>
      </c>
      <c r="S987" s="1569"/>
      <c r="T987" s="1569"/>
      <c r="U987" s="1569"/>
      <c r="V987" s="1569"/>
      <c r="W987" s="1569"/>
      <c r="X987" s="1569"/>
      <c r="Y987" s="1569"/>
      <c r="Z987" s="1569"/>
      <c r="AA987" s="1569"/>
      <c r="AB987" s="1394">
        <f>CU802</f>
        <v>29</v>
      </c>
      <c r="AC987" s="1395"/>
      <c r="AD987" s="1395"/>
      <c r="AE987" s="1395"/>
      <c r="AF987" s="1395"/>
      <c r="AG987" s="1395"/>
      <c r="AH987" s="1395"/>
      <c r="AI987" s="1396"/>
      <c r="AJ987" s="1506">
        <f>IF(ISERROR((R987*AB987)),0,(R987*AB987))</f>
        <v>14636155</v>
      </c>
      <c r="AK987" s="1507"/>
      <c r="AL987" s="1507"/>
      <c r="AM987" s="1507"/>
      <c r="AN987" s="1507"/>
      <c r="AO987" s="1507"/>
      <c r="AP987" s="1507"/>
      <c r="AQ987" s="1508"/>
      <c r="AR987" s="68"/>
      <c r="AS987" s="68"/>
      <c r="AT987" s="68"/>
      <c r="AU987" s="68"/>
      <c r="AV987" s="68"/>
      <c r="AW987" s="68"/>
      <c r="AX987" s="68"/>
      <c r="AY987" s="68"/>
      <c r="AZ987" s="30"/>
      <c r="BB987" s="14"/>
      <c r="BC987" s="14"/>
    </row>
    <row r="988" spans="1:64" ht="12.95" customHeight="1">
      <c r="A988" s="14"/>
      <c r="B988" s="73"/>
      <c r="C988" s="83"/>
      <c r="D988" s="1391" t="s">
        <v>163</v>
      </c>
      <c r="E988" s="1392"/>
      <c r="F988" s="1392"/>
      <c r="G988" s="1392"/>
      <c r="H988" s="1392"/>
      <c r="I988" s="1392"/>
      <c r="J988" s="1392"/>
      <c r="K988" s="1392"/>
      <c r="L988" s="1392"/>
      <c r="M988" s="1392"/>
      <c r="N988" s="1392"/>
      <c r="O988" s="1392"/>
      <c r="P988" s="1392"/>
      <c r="Q988" s="1393"/>
      <c r="R988" s="1569">
        <f>IF(ISNA(IF($CU$122="4%",(INDEX($CS$160:$CW$217,MATCH($DG$122,$CR$160:$CR$217,0),MATCH(D988,$CS$159:$CW$159,0))),(INDEX($CZ$160:$DD$217,MATCH($DG$122,$CY$160:$CY$217,0),MATCH(D988,$CZ$159:$DD$159,0))))),0,IF($CU$122="4%",(INDEX($CS$160:$CW$217,MATCH($DG$122,$CR$160:$CR$217,0),MATCH(D988,$CS$159:$CW$159,0))),(INDEX($CZ$160:$DD$217,MATCH($DG$122,$CY$160:$CY$217,0),MATCH(D988,$CZ$159:$DD$159,0)))))</f>
        <v>608800</v>
      </c>
      <c r="S988" s="1569"/>
      <c r="T988" s="1569"/>
      <c r="U988" s="1569"/>
      <c r="V988" s="1569"/>
      <c r="W988" s="1569"/>
      <c r="X988" s="1569"/>
      <c r="Y988" s="1569"/>
      <c r="Z988" s="1569"/>
      <c r="AA988" s="1569"/>
      <c r="AB988" s="1394">
        <f>CZ802</f>
        <v>1</v>
      </c>
      <c r="AC988" s="1395"/>
      <c r="AD988" s="1395"/>
      <c r="AE988" s="1395"/>
      <c r="AF988" s="1395"/>
      <c r="AG988" s="1395"/>
      <c r="AH988" s="1395"/>
      <c r="AI988" s="1396"/>
      <c r="AJ988" s="1506">
        <f>IF(ISERROR((R988*AB988)),0,(R988*AB988))</f>
        <v>608800</v>
      </c>
      <c r="AK988" s="1507"/>
      <c r="AL988" s="1507"/>
      <c r="AM988" s="1507"/>
      <c r="AN988" s="1507"/>
      <c r="AO988" s="1507"/>
      <c r="AP988" s="1507"/>
      <c r="AQ988" s="1508"/>
      <c r="AR988" s="68"/>
      <c r="AS988" s="68"/>
      <c r="AT988" s="68"/>
      <c r="AU988" s="68"/>
      <c r="AV988" s="68"/>
      <c r="AW988" s="68"/>
      <c r="AX988" s="68"/>
      <c r="AY988" s="68"/>
      <c r="AZ988" s="30"/>
      <c r="BB988" s="14"/>
      <c r="BC988" s="14"/>
    </row>
    <row r="989" spans="1:64" ht="12.95" customHeight="1">
      <c r="A989" s="14"/>
      <c r="B989" s="73"/>
      <c r="C989" s="83"/>
      <c r="D989" s="1391" t="s">
        <v>164</v>
      </c>
      <c r="E989" s="1392"/>
      <c r="F989" s="1392"/>
      <c r="G989" s="1392"/>
      <c r="H989" s="1392"/>
      <c r="I989" s="1392"/>
      <c r="J989" s="1392"/>
      <c r="K989" s="1392"/>
      <c r="L989" s="1392"/>
      <c r="M989" s="1392"/>
      <c r="N989" s="1392"/>
      <c r="O989" s="1392"/>
      <c r="P989" s="1392"/>
      <c r="Q989" s="1393"/>
      <c r="R989" s="1569">
        <f>IF(ISNA(IF($CU$122="4%",(INDEX($CS$160:$CW$217,MATCH($DG$122,$CR$160:$CR$217,0),MATCH(D989,$CS$159:$CW$159,0))),(INDEX($CZ$160:$DD$217,MATCH($DG$122,$CY$160:$CY$217,0),MATCH(D989,$CZ$159:$DD$159,0))))),0,IF($CU$122="4%",(INDEX($CS$160:$CW$217,MATCH($DG$122,$CR$160:$CR$217,0),MATCH(D989,$CS$159:$CW$159,0))),(INDEX($CZ$160:$DD$217,MATCH($DG$122,$CY$160:$CY$217,0),MATCH(D989,$CZ$159:$DD$159,0)))))</f>
        <v>779264</v>
      </c>
      <c r="S989" s="1569"/>
      <c r="T989" s="1569"/>
      <c r="U989" s="1569"/>
      <c r="V989" s="1569"/>
      <c r="W989" s="1569"/>
      <c r="X989" s="1569"/>
      <c r="Y989" s="1569"/>
      <c r="Z989" s="1569"/>
      <c r="AA989" s="1569"/>
      <c r="AB989" s="1394">
        <f>DE802</f>
        <v>0</v>
      </c>
      <c r="AC989" s="1395"/>
      <c r="AD989" s="1395"/>
      <c r="AE989" s="1395"/>
      <c r="AF989" s="1395"/>
      <c r="AG989" s="1395"/>
      <c r="AH989" s="1395"/>
      <c r="AI989" s="1396"/>
      <c r="AJ989" s="1506">
        <f>IF(ISERROR((R989*AB989)),0,(R989*AB989))</f>
        <v>0</v>
      </c>
      <c r="AK989" s="1507"/>
      <c r="AL989" s="1507"/>
      <c r="AM989" s="1507"/>
      <c r="AN989" s="1507"/>
      <c r="AO989" s="1507"/>
      <c r="AP989" s="1507"/>
      <c r="AQ989" s="1508"/>
      <c r="AR989" s="68"/>
      <c r="AS989" s="68"/>
      <c r="AT989" s="68"/>
      <c r="AU989" s="68"/>
      <c r="AV989" s="68"/>
      <c r="AW989" s="68"/>
      <c r="AX989" s="68"/>
      <c r="AY989" s="68"/>
      <c r="AZ989" s="30"/>
      <c r="BA989" s="34"/>
      <c r="BB989" s="14"/>
      <c r="BC989" s="14"/>
    </row>
    <row r="990" spans="1:64" ht="12.95" customHeight="1">
      <c r="A990" s="14"/>
      <c r="B990" s="47"/>
      <c r="C990" s="78"/>
      <c r="D990" s="1391" t="s">
        <v>461</v>
      </c>
      <c r="E990" s="1392"/>
      <c r="F990" s="1392"/>
      <c r="G990" s="1392"/>
      <c r="H990" s="1392"/>
      <c r="I990" s="1392"/>
      <c r="J990" s="1392"/>
      <c r="K990" s="1392"/>
      <c r="L990" s="1392"/>
      <c r="M990" s="1392"/>
      <c r="N990" s="1392"/>
      <c r="O990" s="1392"/>
      <c r="P990" s="1392"/>
      <c r="Q990" s="1393"/>
      <c r="R990" s="1569">
        <f>IF(ISNA(IF($CU$122="4%",(INDEX($CS$160:$CW$217,MATCH($DG$122,$CR$160:$CR$217,0),MATCH(D990,$CS$159:$CW$159,0))),(INDEX($CZ$160:$DD$217,MATCH($DG$122,$CY$160:$CY$217,0),MATCH(D990,$CZ$159:$DD$159,0))))),0,IF($CU$122="4%",(INDEX($CS$160:$CW$217,MATCH($DG$122,$CR$160:$CR$217,0),MATCH(D990,$CS$159:$CW$159,0))),(INDEX($CZ$160:$DD$217,MATCH($DG$122,$CY$160:$CY$217,0),MATCH(D990,$CZ$159:$DD$159,0)))))</f>
        <v>868149</v>
      </c>
      <c r="S990" s="1569"/>
      <c r="T990" s="1569"/>
      <c r="U990" s="1569"/>
      <c r="V990" s="1569"/>
      <c r="W990" s="1569"/>
      <c r="X990" s="1569"/>
      <c r="Y990" s="1569"/>
      <c r="Z990" s="1569"/>
      <c r="AA990" s="1569"/>
      <c r="AB990" s="1394">
        <f>DO802+DJ802</f>
        <v>0</v>
      </c>
      <c r="AC990" s="1395"/>
      <c r="AD990" s="1395"/>
      <c r="AE990" s="1395"/>
      <c r="AF990" s="1395"/>
      <c r="AG990" s="1395"/>
      <c r="AH990" s="1395"/>
      <c r="AI990" s="1396"/>
      <c r="AJ990" s="1506">
        <f>IF(ISERROR((R990*AB990)),0,(R990*AB990))</f>
        <v>0</v>
      </c>
      <c r="AK990" s="1507"/>
      <c r="AL990" s="1507"/>
      <c r="AM990" s="1507"/>
      <c r="AN990" s="1507"/>
      <c r="AO990" s="1507"/>
      <c r="AP990" s="1507"/>
      <c r="AQ990" s="1508"/>
      <c r="AR990" s="68"/>
      <c r="AS990" s="68"/>
      <c r="AT990" s="68"/>
      <c r="AU990" s="68"/>
      <c r="AV990" s="68"/>
      <c r="AW990" s="68"/>
      <c r="AX990" s="68"/>
      <c r="AY990" s="68"/>
      <c r="AZ990" s="30"/>
      <c r="BB990" s="14"/>
      <c r="BC990" s="14"/>
    </row>
    <row r="991" spans="1:64" ht="12.95" customHeight="1">
      <c r="A991" s="14"/>
      <c r="B991" s="1624" t="s">
        <v>792</v>
      </c>
      <c r="C991" s="1625"/>
      <c r="D991" s="1625"/>
      <c r="E991" s="1625"/>
      <c r="F991" s="1625"/>
      <c r="G991" s="1625"/>
      <c r="H991" s="1625"/>
      <c r="I991" s="1625"/>
      <c r="J991" s="1625"/>
      <c r="K991" s="1625"/>
      <c r="L991" s="1625"/>
      <c r="M991" s="1625"/>
      <c r="N991" s="1625"/>
      <c r="O991" s="1625"/>
      <c r="P991" s="1625"/>
      <c r="Q991" s="1625"/>
      <c r="R991" s="1625"/>
      <c r="S991" s="1625"/>
      <c r="T991" s="1625"/>
      <c r="U991" s="1625"/>
      <c r="V991" s="1625"/>
      <c r="W991" s="1625"/>
      <c r="X991" s="1625"/>
      <c r="Y991" s="1625"/>
      <c r="Z991" s="1625"/>
      <c r="AA991" s="1626"/>
      <c r="AB991" s="1394">
        <f>SUM(AB986:AI990)</f>
        <v>150</v>
      </c>
      <c r="AC991" s="1395"/>
      <c r="AD991" s="1395"/>
      <c r="AE991" s="1395"/>
      <c r="AF991" s="1395"/>
      <c r="AG991" s="1395"/>
      <c r="AH991" s="1395"/>
      <c r="AI991" s="1396"/>
      <c r="AJ991" s="1506"/>
      <c r="AK991" s="1507"/>
      <c r="AL991" s="1507"/>
      <c r="AM991" s="1507"/>
      <c r="AN991" s="1507"/>
      <c r="AO991" s="1507"/>
      <c r="AP991" s="1507"/>
      <c r="AQ991" s="1508"/>
      <c r="AR991" s="68"/>
      <c r="AS991" s="68"/>
      <c r="AT991" s="68"/>
      <c r="AU991" s="68"/>
      <c r="AV991" s="68"/>
      <c r="AW991" s="68"/>
      <c r="AX991" s="68"/>
      <c r="AY991" s="68"/>
      <c r="AZ991" s="34"/>
      <c r="BA991" s="34"/>
      <c r="BB991" s="14"/>
      <c r="BC991" s="14"/>
    </row>
    <row r="992" spans="1:64" ht="12.95" customHeight="1">
      <c r="A992" s="14"/>
      <c r="B992" s="1591" t="s">
        <v>513</v>
      </c>
      <c r="C992" s="1592"/>
      <c r="D992" s="1592"/>
      <c r="E992" s="1592"/>
      <c r="F992" s="1592"/>
      <c r="G992" s="1592"/>
      <c r="H992" s="1592"/>
      <c r="I992" s="1592"/>
      <c r="J992" s="1592"/>
      <c r="K992" s="1592"/>
      <c r="L992" s="1592"/>
      <c r="M992" s="1592"/>
      <c r="N992" s="1592"/>
      <c r="O992" s="1592"/>
      <c r="P992" s="1592"/>
      <c r="Q992" s="1592"/>
      <c r="R992" s="1592"/>
      <c r="S992" s="1592"/>
      <c r="T992" s="1592"/>
      <c r="U992" s="1592"/>
      <c r="V992" s="1592"/>
      <c r="W992" s="1592"/>
      <c r="X992" s="1592"/>
      <c r="Y992" s="1592"/>
      <c r="Z992" s="1592"/>
      <c r="AA992" s="1592"/>
      <c r="AB992" s="1592"/>
      <c r="AC992" s="1592"/>
      <c r="AD992" s="1592"/>
      <c r="AE992" s="1592"/>
      <c r="AF992" s="1592"/>
      <c r="AG992" s="1592"/>
      <c r="AH992" s="1592"/>
      <c r="AI992" s="1593"/>
      <c r="AJ992" s="1506">
        <f>SUM(AJ986:AQ990)</f>
        <v>67772195</v>
      </c>
      <c r="AK992" s="1507"/>
      <c r="AL992" s="1507"/>
      <c r="AM992" s="1507"/>
      <c r="AN992" s="1507"/>
      <c r="AO992" s="1507"/>
      <c r="AP992" s="1507"/>
      <c r="AQ992" s="1508"/>
      <c r="AR992" s="68"/>
      <c r="AS992" s="68"/>
      <c r="AT992" s="68"/>
      <c r="AU992" s="68"/>
      <c r="AV992" s="68"/>
      <c r="AW992" s="68"/>
      <c r="AX992" s="68"/>
      <c r="AY992" s="68"/>
      <c r="AZ992" s="34"/>
      <c r="BB992" s="34"/>
      <c r="BC992" s="34"/>
    </row>
    <row r="993" spans="1:55" ht="12.95" customHeight="1">
      <c r="A993" s="14"/>
      <c r="B993" s="1509"/>
      <c r="C993" s="1510"/>
      <c r="D993" s="1510"/>
      <c r="E993" s="1510"/>
      <c r="F993" s="1510"/>
      <c r="G993" s="1510"/>
      <c r="H993" s="1510"/>
      <c r="I993" s="1510"/>
      <c r="J993" s="1510"/>
      <c r="K993" s="1510"/>
      <c r="L993" s="1510"/>
      <c r="M993" s="1510"/>
      <c r="N993" s="1510"/>
      <c r="O993" s="1510"/>
      <c r="P993" s="1510"/>
      <c r="Q993" s="1510"/>
      <c r="R993" s="1510"/>
      <c r="S993" s="1510"/>
      <c r="T993" s="1510"/>
      <c r="U993" s="1510"/>
      <c r="V993" s="1510"/>
      <c r="W993" s="1510"/>
      <c r="X993" s="1510"/>
      <c r="Y993" s="1510"/>
      <c r="Z993" s="1510"/>
      <c r="AA993" s="1510"/>
      <c r="AB993" s="1510"/>
      <c r="AC993" s="1510"/>
      <c r="AD993" s="1510"/>
      <c r="AE993" s="1511"/>
      <c r="AF993" s="1515" t="s">
        <v>667</v>
      </c>
      <c r="AG993" s="1516"/>
      <c r="AH993" s="1516"/>
      <c r="AI993" s="1517"/>
      <c r="AJ993" s="1509"/>
      <c r="AK993" s="1510"/>
      <c r="AL993" s="1510"/>
      <c r="AM993" s="1510"/>
      <c r="AN993" s="1510"/>
      <c r="AO993" s="1510"/>
      <c r="AP993" s="1510"/>
      <c r="AQ993" s="1511"/>
      <c r="AR993" s="68"/>
      <c r="AS993" s="68"/>
      <c r="AT993" s="68"/>
      <c r="AU993" s="68"/>
      <c r="AV993" s="68"/>
      <c r="AW993" s="68"/>
      <c r="AX993" s="68"/>
      <c r="AY993" s="68"/>
      <c r="AZ993" s="34"/>
      <c r="BA993" s="34"/>
      <c r="BB993" s="34"/>
      <c r="BC993" s="34"/>
    </row>
    <row r="994" spans="1:55" ht="12.95" customHeight="1">
      <c r="A994" s="14"/>
      <c r="B994" s="73"/>
      <c r="C994" s="926" t="s">
        <v>669</v>
      </c>
      <c r="D994" s="1522" t="s">
        <v>1221</v>
      </c>
      <c r="E994" s="1523"/>
      <c r="F994" s="1523"/>
      <c r="G994" s="1523"/>
      <c r="H994" s="1523"/>
      <c r="I994" s="1523"/>
      <c r="J994" s="1523"/>
      <c r="K994" s="1523"/>
      <c r="L994" s="1523"/>
      <c r="M994" s="1523"/>
      <c r="N994" s="1523"/>
      <c r="O994" s="1523"/>
      <c r="P994" s="1523"/>
      <c r="Q994" s="1523"/>
      <c r="R994" s="1523"/>
      <c r="S994" s="1523"/>
      <c r="T994" s="1523"/>
      <c r="U994" s="1523"/>
      <c r="V994" s="1523"/>
      <c r="W994" s="1523"/>
      <c r="X994" s="1523"/>
      <c r="Y994" s="1523"/>
      <c r="Z994" s="1523"/>
      <c r="AA994" s="1523"/>
      <c r="AB994" s="1523"/>
      <c r="AC994" s="1523"/>
      <c r="AD994" s="1523"/>
      <c r="AE994" s="1524"/>
      <c r="AF994" s="79"/>
      <c r="AG994" s="1518" t="s">
        <v>546</v>
      </c>
      <c r="AH994" s="1519"/>
      <c r="AI994" s="87"/>
      <c r="AJ994" s="1397">
        <f>ROUND(IF(AND(AG994="yes",D1000&gt;0),AJ992*0.2,0),0)</f>
        <v>13554439</v>
      </c>
      <c r="AK994" s="1398"/>
      <c r="AL994" s="1398"/>
      <c r="AM994" s="1398"/>
      <c r="AN994" s="1398"/>
      <c r="AO994" s="1398"/>
      <c r="AP994" s="1398"/>
      <c r="AQ994" s="1399"/>
      <c r="AR994" s="68"/>
      <c r="AS994" s="68"/>
      <c r="AT994" s="68"/>
      <c r="AU994" s="68"/>
      <c r="AV994" s="68"/>
      <c r="AW994" s="68"/>
      <c r="AX994" s="68"/>
      <c r="AY994" s="68"/>
      <c r="AZ994" s="34"/>
      <c r="BA994" s="34"/>
      <c r="BB994" s="34"/>
      <c r="BC994" s="34"/>
    </row>
    <row r="995" spans="1:55" ht="12.95" customHeight="1">
      <c r="A995" s="14"/>
      <c r="B995" s="256"/>
      <c r="C995" s="255"/>
      <c r="D995" s="1557" t="s">
        <v>2237</v>
      </c>
      <c r="E995" s="1558"/>
      <c r="F995" s="1558"/>
      <c r="G995" s="1558"/>
      <c r="H995" s="1558"/>
      <c r="I995" s="1558"/>
      <c r="J995" s="1558"/>
      <c r="K995" s="1558"/>
      <c r="L995" s="1558"/>
      <c r="M995" s="1558"/>
      <c r="N995" s="1558"/>
      <c r="O995" s="1558"/>
      <c r="P995" s="1558"/>
      <c r="Q995" s="1558"/>
      <c r="R995" s="1558"/>
      <c r="S995" s="1558"/>
      <c r="T995" s="1558"/>
      <c r="U995" s="1558"/>
      <c r="V995" s="1558"/>
      <c r="W995" s="1558"/>
      <c r="X995" s="1558"/>
      <c r="Y995" s="1558"/>
      <c r="Z995" s="1558"/>
      <c r="AA995" s="1558"/>
      <c r="AB995" s="1558"/>
      <c r="AC995" s="1558"/>
      <c r="AD995" s="1558"/>
      <c r="AE995" s="1559"/>
      <c r="AF995" s="73"/>
      <c r="AG995" s="14"/>
      <c r="AH995" s="14"/>
      <c r="AI995" s="83"/>
      <c r="AJ995" s="1400"/>
      <c r="AK995" s="1401"/>
      <c r="AL995" s="1401"/>
      <c r="AM995" s="1401"/>
      <c r="AN995" s="1401"/>
      <c r="AO995" s="1401"/>
      <c r="AP995" s="1401"/>
      <c r="AQ995" s="1402"/>
      <c r="AR995" s="68"/>
      <c r="AS995" s="68"/>
      <c r="AT995" s="68"/>
      <c r="AU995" s="68"/>
      <c r="AV995" s="68"/>
      <c r="AW995" s="68"/>
      <c r="AX995" s="68"/>
      <c r="AY995" s="68"/>
      <c r="AZ995" s="34"/>
      <c r="BA995" s="34"/>
      <c r="BB995" s="34"/>
      <c r="BC995" s="34"/>
    </row>
    <row r="996" spans="1:55" ht="12.95" customHeight="1">
      <c r="A996" s="14"/>
      <c r="B996" s="256"/>
      <c r="C996" s="255"/>
      <c r="D996" s="1557"/>
      <c r="E996" s="1558"/>
      <c r="F996" s="1558"/>
      <c r="G996" s="1558"/>
      <c r="H996" s="1558"/>
      <c r="I996" s="1558"/>
      <c r="J996" s="1558"/>
      <c r="K996" s="1558"/>
      <c r="L996" s="1558"/>
      <c r="M996" s="1558"/>
      <c r="N996" s="1558"/>
      <c r="O996" s="1558"/>
      <c r="P996" s="1558"/>
      <c r="Q996" s="1558"/>
      <c r="R996" s="1558"/>
      <c r="S996" s="1558"/>
      <c r="T996" s="1558"/>
      <c r="U996" s="1558"/>
      <c r="V996" s="1558"/>
      <c r="W996" s="1558"/>
      <c r="X996" s="1558"/>
      <c r="Y996" s="1558"/>
      <c r="Z996" s="1558"/>
      <c r="AA996" s="1558"/>
      <c r="AB996" s="1558"/>
      <c r="AC996" s="1558"/>
      <c r="AD996" s="1558"/>
      <c r="AE996" s="1559"/>
      <c r="AF996" s="73"/>
      <c r="AG996" s="14"/>
      <c r="AH996" s="14"/>
      <c r="AI996" s="83"/>
      <c r="AJ996" s="1400"/>
      <c r="AK996" s="1401"/>
      <c r="AL996" s="1401"/>
      <c r="AM996" s="1401"/>
      <c r="AN996" s="1401"/>
      <c r="AO996" s="1401"/>
      <c r="AP996" s="1401"/>
      <c r="AQ996" s="1402"/>
      <c r="AR996" s="68"/>
      <c r="AS996" s="68"/>
      <c r="AT996" s="68"/>
      <c r="AU996" s="68"/>
      <c r="AV996" s="68"/>
      <c r="AW996" s="68"/>
      <c r="AX996" s="68"/>
      <c r="AY996" s="68"/>
      <c r="AZ996" s="34"/>
      <c r="BA996" s="34"/>
      <c r="BB996" s="34"/>
      <c r="BC996" s="34"/>
    </row>
    <row r="997" spans="1:55" ht="12.95" customHeight="1">
      <c r="A997" s="14"/>
      <c r="B997" s="256"/>
      <c r="C997" s="255"/>
      <c r="D997" s="1557"/>
      <c r="E997" s="1558"/>
      <c r="F997" s="1558"/>
      <c r="G997" s="1558"/>
      <c r="H997" s="1558"/>
      <c r="I997" s="1558"/>
      <c r="J997" s="1558"/>
      <c r="K997" s="1558"/>
      <c r="L997" s="1558"/>
      <c r="M997" s="1558"/>
      <c r="N997" s="1558"/>
      <c r="O997" s="1558"/>
      <c r="P997" s="1558"/>
      <c r="Q997" s="1558"/>
      <c r="R997" s="1558"/>
      <c r="S997" s="1558"/>
      <c r="T997" s="1558"/>
      <c r="U997" s="1558"/>
      <c r="V997" s="1558"/>
      <c r="W997" s="1558"/>
      <c r="X997" s="1558"/>
      <c r="Y997" s="1558"/>
      <c r="Z997" s="1558"/>
      <c r="AA997" s="1558"/>
      <c r="AB997" s="1558"/>
      <c r="AC997" s="1558"/>
      <c r="AD997" s="1558"/>
      <c r="AE997" s="1559"/>
      <c r="AF997" s="73"/>
      <c r="AG997" s="14"/>
      <c r="AH997" s="14"/>
      <c r="AI997" s="83"/>
      <c r="AJ997" s="1400"/>
      <c r="AK997" s="1401"/>
      <c r="AL997" s="1401"/>
      <c r="AM997" s="1401"/>
      <c r="AN997" s="1401"/>
      <c r="AO997" s="1401"/>
      <c r="AP997" s="1401"/>
      <c r="AQ997" s="1402"/>
      <c r="AR997" s="68"/>
      <c r="AS997" s="68"/>
      <c r="AT997" s="68"/>
      <c r="AU997" s="68"/>
      <c r="AV997" s="68"/>
      <c r="AW997" s="68"/>
      <c r="AX997" s="68"/>
      <c r="AY997" s="68"/>
      <c r="AZ997" s="34"/>
      <c r="BA997" s="34"/>
      <c r="BB997" s="34"/>
      <c r="BC997" s="34"/>
    </row>
    <row r="998" spans="1:55" ht="12.95" customHeight="1">
      <c r="A998" s="14"/>
      <c r="B998" s="256"/>
      <c r="C998" s="255"/>
      <c r="D998" s="1557"/>
      <c r="E998" s="1558"/>
      <c r="F998" s="1558"/>
      <c r="G998" s="1558"/>
      <c r="H998" s="1558"/>
      <c r="I998" s="1558"/>
      <c r="J998" s="1558"/>
      <c r="K998" s="1558"/>
      <c r="L998" s="1558"/>
      <c r="M998" s="1558"/>
      <c r="N998" s="1558"/>
      <c r="O998" s="1558"/>
      <c r="P998" s="1558"/>
      <c r="Q998" s="1558"/>
      <c r="R998" s="1558"/>
      <c r="S998" s="1558"/>
      <c r="T998" s="1558"/>
      <c r="U998" s="1558"/>
      <c r="V998" s="1558"/>
      <c r="W998" s="1558"/>
      <c r="X998" s="1558"/>
      <c r="Y998" s="1558"/>
      <c r="Z998" s="1558"/>
      <c r="AA998" s="1558"/>
      <c r="AB998" s="1558"/>
      <c r="AC998" s="1558"/>
      <c r="AD998" s="1558"/>
      <c r="AE998" s="1559"/>
      <c r="AF998" s="73"/>
      <c r="AG998" s="14"/>
      <c r="AH998" s="14"/>
      <c r="AI998" s="83"/>
      <c r="AJ998" s="1400"/>
      <c r="AK998" s="1401"/>
      <c r="AL998" s="1401"/>
      <c r="AM998" s="1401"/>
      <c r="AN998" s="1401"/>
      <c r="AO998" s="1401"/>
      <c r="AP998" s="1401"/>
      <c r="AQ998" s="1402"/>
      <c r="AR998" s="68"/>
      <c r="AS998" s="68"/>
      <c r="AT998" s="68"/>
      <c r="AU998" s="68"/>
      <c r="AV998" s="68"/>
      <c r="AW998" s="68"/>
      <c r="AX998" s="68"/>
      <c r="AY998" s="68"/>
      <c r="AZ998" s="34"/>
      <c r="BA998" s="34"/>
      <c r="BB998" s="34"/>
      <c r="BC998" s="34"/>
    </row>
    <row r="999" spans="1:55" ht="12.95" customHeight="1">
      <c r="A999" s="14"/>
      <c r="B999" s="256"/>
      <c r="C999" s="255"/>
      <c r="D999" s="1560" t="s">
        <v>2207</v>
      </c>
      <c r="E999" s="1561"/>
      <c r="F999" s="1561"/>
      <c r="G999" s="1561"/>
      <c r="H999" s="1561"/>
      <c r="I999" s="1561"/>
      <c r="J999" s="1561"/>
      <c r="K999" s="1561"/>
      <c r="L999" s="1561"/>
      <c r="M999" s="1561"/>
      <c r="N999" s="1561"/>
      <c r="O999" s="1561"/>
      <c r="P999" s="1561"/>
      <c r="Q999" s="1561"/>
      <c r="R999" s="1561"/>
      <c r="S999" s="1561"/>
      <c r="T999" s="1561"/>
      <c r="U999" s="1561"/>
      <c r="V999" s="1561"/>
      <c r="W999" s="1561"/>
      <c r="X999" s="1561"/>
      <c r="Y999" s="1561"/>
      <c r="Z999" s="1561"/>
      <c r="AA999" s="1561"/>
      <c r="AB999" s="1561"/>
      <c r="AC999" s="1561"/>
      <c r="AD999" s="1561"/>
      <c r="AE999" s="1562"/>
      <c r="AF999" s="73"/>
      <c r="AG999" s="14"/>
      <c r="AH999" s="14"/>
      <c r="AI999" s="83"/>
      <c r="AJ999" s="1400"/>
      <c r="AK999" s="1401"/>
      <c r="AL999" s="1401"/>
      <c r="AM999" s="1401"/>
      <c r="AN999" s="1401"/>
      <c r="AO999" s="1401"/>
      <c r="AP999" s="1401"/>
      <c r="AQ999" s="1402"/>
      <c r="AR999" s="68"/>
      <c r="AS999" s="68"/>
      <c r="AT999" s="68"/>
      <c r="AU999" s="68"/>
      <c r="AV999" s="68"/>
      <c r="AW999" s="68"/>
      <c r="AX999" s="68"/>
      <c r="AY999" s="68"/>
      <c r="AZ999" s="34"/>
      <c r="BA999" s="34"/>
      <c r="BB999" s="34"/>
      <c r="BC999" s="34"/>
    </row>
    <row r="1000" spans="1:55" ht="12.95" customHeight="1">
      <c r="A1000" s="14"/>
      <c r="B1000" s="256"/>
      <c r="C1000" s="255"/>
      <c r="D1000" s="1627" t="s">
        <v>2718</v>
      </c>
      <c r="E1000" s="1628"/>
      <c r="F1000" s="1628"/>
      <c r="G1000" s="1628"/>
      <c r="H1000" s="1628"/>
      <c r="I1000" s="1628"/>
      <c r="J1000" s="1628"/>
      <c r="K1000" s="1628"/>
      <c r="L1000" s="1628"/>
      <c r="M1000" s="1628"/>
      <c r="N1000" s="1628"/>
      <c r="O1000" s="1628"/>
      <c r="P1000" s="1628"/>
      <c r="Q1000" s="1628"/>
      <c r="R1000" s="1628"/>
      <c r="S1000" s="1628"/>
      <c r="T1000" s="1628"/>
      <c r="U1000" s="1628"/>
      <c r="V1000" s="1628"/>
      <c r="W1000" s="1628"/>
      <c r="X1000" s="1628"/>
      <c r="Y1000" s="1628"/>
      <c r="Z1000" s="1628"/>
      <c r="AA1000" s="1628"/>
      <c r="AB1000" s="1628"/>
      <c r="AC1000" s="1628"/>
      <c r="AD1000" s="1628"/>
      <c r="AE1000" s="1629"/>
      <c r="AF1000" s="77"/>
      <c r="AG1000" s="7"/>
      <c r="AH1000" s="7"/>
      <c r="AI1000" s="78"/>
      <c r="AJ1000" s="1403"/>
      <c r="AK1000" s="1404"/>
      <c r="AL1000" s="1404"/>
      <c r="AM1000" s="1404"/>
      <c r="AN1000" s="1404"/>
      <c r="AO1000" s="1404"/>
      <c r="AP1000" s="1404"/>
      <c r="AQ1000" s="1405"/>
      <c r="AR1000" s="68"/>
      <c r="AS1000" s="68"/>
      <c r="AT1000" s="68"/>
      <c r="AU1000" s="68"/>
      <c r="AV1000" s="68"/>
      <c r="AW1000" s="68"/>
      <c r="AX1000" s="68"/>
      <c r="AY1000" s="68"/>
      <c r="AZ1000" s="34"/>
      <c r="BA1000" s="34"/>
      <c r="BB1000" s="34"/>
      <c r="BC1000" s="34"/>
    </row>
    <row r="1001" spans="1:55" ht="12.95" customHeight="1">
      <c r="A1001" s="14"/>
      <c r="B1001" s="254"/>
      <c r="C1001" s="317"/>
      <c r="D1001" s="1512" t="s">
        <v>1287</v>
      </c>
      <c r="E1001" s="1513"/>
      <c r="F1001" s="1513"/>
      <c r="G1001" s="1513"/>
      <c r="H1001" s="1513"/>
      <c r="I1001" s="1513"/>
      <c r="J1001" s="1513"/>
      <c r="K1001" s="1513"/>
      <c r="L1001" s="1513"/>
      <c r="M1001" s="1513"/>
      <c r="N1001" s="1513"/>
      <c r="O1001" s="1513"/>
      <c r="P1001" s="1513"/>
      <c r="Q1001" s="1513"/>
      <c r="R1001" s="1513"/>
      <c r="S1001" s="1513"/>
      <c r="T1001" s="1513"/>
      <c r="U1001" s="1513"/>
      <c r="V1001" s="1513"/>
      <c r="W1001" s="1513"/>
      <c r="X1001" s="1513"/>
      <c r="Y1001" s="1513"/>
      <c r="Z1001" s="1513"/>
      <c r="AA1001" s="1513"/>
      <c r="AB1001" s="1513"/>
      <c r="AC1001" s="1513"/>
      <c r="AD1001" s="1513"/>
      <c r="AE1001" s="1514"/>
      <c r="AF1001" s="79"/>
      <c r="AG1001" s="1520" t="s">
        <v>670</v>
      </c>
      <c r="AH1001" s="1521"/>
      <c r="AI1001" s="87"/>
      <c r="AJ1001" s="1397">
        <f>ROUND(IF(AG1001="yes",AJ992*0.05,0),0)</f>
        <v>0</v>
      </c>
      <c r="AK1001" s="1398"/>
      <c r="AL1001" s="1398"/>
      <c r="AM1001" s="1398"/>
      <c r="AN1001" s="1398"/>
      <c r="AO1001" s="1398"/>
      <c r="AP1001" s="1398"/>
      <c r="AQ1001" s="1399"/>
      <c r="AR1001" s="68"/>
      <c r="AS1001" s="68"/>
      <c r="AT1001" s="68"/>
      <c r="AU1001" s="68"/>
      <c r="AV1001" s="68"/>
      <c r="AW1001" s="68"/>
      <c r="AX1001" s="68"/>
      <c r="AY1001" s="68"/>
      <c r="AZ1001" s="34"/>
      <c r="BA1001" s="34"/>
      <c r="BB1001" s="34"/>
      <c r="BC1001" s="34"/>
    </row>
    <row r="1002" spans="1:55" ht="12.95" customHeight="1">
      <c r="A1002" s="14"/>
      <c r="B1002" s="256"/>
      <c r="C1002" s="82"/>
      <c r="D1002" s="1557" t="s">
        <v>1285</v>
      </c>
      <c r="E1002" s="1558"/>
      <c r="F1002" s="1558"/>
      <c r="G1002" s="1558"/>
      <c r="H1002" s="1558"/>
      <c r="I1002" s="1558"/>
      <c r="J1002" s="1558"/>
      <c r="K1002" s="1558"/>
      <c r="L1002" s="1558"/>
      <c r="M1002" s="1558"/>
      <c r="N1002" s="1558"/>
      <c r="O1002" s="1558"/>
      <c r="P1002" s="1558"/>
      <c r="Q1002" s="1558"/>
      <c r="R1002" s="1558"/>
      <c r="S1002" s="1558"/>
      <c r="T1002" s="1558"/>
      <c r="U1002" s="1558"/>
      <c r="V1002" s="1558"/>
      <c r="W1002" s="1558"/>
      <c r="X1002" s="1558"/>
      <c r="Y1002" s="1558"/>
      <c r="Z1002" s="1558"/>
      <c r="AA1002" s="1558"/>
      <c r="AB1002" s="1558"/>
      <c r="AC1002" s="1558"/>
      <c r="AD1002" s="1558"/>
      <c r="AE1002" s="1559"/>
      <c r="AF1002" s="73"/>
      <c r="AG1002" s="14"/>
      <c r="AH1002" s="14"/>
      <c r="AI1002" s="83"/>
      <c r="AJ1002" s="1400"/>
      <c r="AK1002" s="1401"/>
      <c r="AL1002" s="1401"/>
      <c r="AM1002" s="1401"/>
      <c r="AN1002" s="1401"/>
      <c r="AO1002" s="1401"/>
      <c r="AP1002" s="1401"/>
      <c r="AQ1002" s="1402"/>
      <c r="AR1002" s="68"/>
      <c r="AS1002" s="68"/>
      <c r="AT1002" s="68"/>
      <c r="AU1002" s="68"/>
      <c r="AV1002" s="68"/>
      <c r="AW1002" s="68"/>
      <c r="AX1002" s="68"/>
      <c r="AY1002" s="34"/>
      <c r="AZ1002" s="34"/>
      <c r="BB1002" s="34"/>
    </row>
    <row r="1003" spans="1:55" ht="12.95" customHeight="1">
      <c r="A1003" s="14"/>
      <c r="B1003" s="256"/>
      <c r="C1003" s="82"/>
      <c r="D1003" s="1557"/>
      <c r="E1003" s="1558"/>
      <c r="F1003" s="1558"/>
      <c r="G1003" s="1558"/>
      <c r="H1003" s="1558"/>
      <c r="I1003" s="1558"/>
      <c r="J1003" s="1558"/>
      <c r="K1003" s="1558"/>
      <c r="L1003" s="1558"/>
      <c r="M1003" s="1558"/>
      <c r="N1003" s="1558"/>
      <c r="O1003" s="1558"/>
      <c r="P1003" s="1558"/>
      <c r="Q1003" s="1558"/>
      <c r="R1003" s="1558"/>
      <c r="S1003" s="1558"/>
      <c r="T1003" s="1558"/>
      <c r="U1003" s="1558"/>
      <c r="V1003" s="1558"/>
      <c r="W1003" s="1558"/>
      <c r="X1003" s="1558"/>
      <c r="Y1003" s="1558"/>
      <c r="Z1003" s="1558"/>
      <c r="AA1003" s="1558"/>
      <c r="AB1003" s="1558"/>
      <c r="AC1003" s="1558"/>
      <c r="AD1003" s="1558"/>
      <c r="AE1003" s="1559"/>
      <c r="AF1003" s="73"/>
      <c r="AG1003" s="14"/>
      <c r="AH1003" s="14"/>
      <c r="AI1003" s="83"/>
      <c r="AJ1003" s="1400"/>
      <c r="AK1003" s="1401"/>
      <c r="AL1003" s="1401"/>
      <c r="AM1003" s="1401"/>
      <c r="AN1003" s="1401"/>
      <c r="AO1003" s="1401"/>
      <c r="AP1003" s="1401"/>
      <c r="AQ1003" s="1402"/>
      <c r="AR1003" s="68"/>
      <c r="AS1003" s="68"/>
      <c r="AT1003" s="68"/>
      <c r="AU1003" s="68"/>
      <c r="AV1003" s="68"/>
      <c r="AW1003" s="68"/>
      <c r="AX1003" s="68"/>
      <c r="AY1003" s="913">
        <f>G753+O797</f>
        <v>149</v>
      </c>
      <c r="AZ1003" s="34"/>
      <c r="BB1003" s="34"/>
    </row>
    <row r="1004" spans="1:55" ht="12.95" customHeight="1">
      <c r="A1004" s="14"/>
      <c r="B1004" s="256"/>
      <c r="C1004" s="82"/>
      <c r="D1004" s="1557"/>
      <c r="E1004" s="1558"/>
      <c r="F1004" s="1558"/>
      <c r="G1004" s="1558"/>
      <c r="H1004" s="1558"/>
      <c r="I1004" s="1558"/>
      <c r="J1004" s="1558"/>
      <c r="K1004" s="1558"/>
      <c r="L1004" s="1558"/>
      <c r="M1004" s="1558"/>
      <c r="N1004" s="1558"/>
      <c r="O1004" s="1558"/>
      <c r="P1004" s="1558"/>
      <c r="Q1004" s="1558"/>
      <c r="R1004" s="1558"/>
      <c r="S1004" s="1558"/>
      <c r="T1004" s="1558"/>
      <c r="U1004" s="1558"/>
      <c r="V1004" s="1558"/>
      <c r="W1004" s="1558"/>
      <c r="X1004" s="1558"/>
      <c r="Y1004" s="1558"/>
      <c r="Z1004" s="1558"/>
      <c r="AA1004" s="1558"/>
      <c r="AB1004" s="1558"/>
      <c r="AC1004" s="1558"/>
      <c r="AD1004" s="1558"/>
      <c r="AE1004" s="1559"/>
      <c r="AF1004" s="73"/>
      <c r="AG1004" s="14"/>
      <c r="AH1004" s="14"/>
      <c r="AI1004" s="83"/>
      <c r="AJ1004" s="1400"/>
      <c r="AK1004" s="1401"/>
      <c r="AL1004" s="1401"/>
      <c r="AM1004" s="1401"/>
      <c r="AN1004" s="1401"/>
      <c r="AO1004" s="1401"/>
      <c r="AP1004" s="1401"/>
      <c r="AQ1004" s="1402"/>
      <c r="AR1004" s="68"/>
      <c r="AS1004" s="68"/>
      <c r="AT1004" s="68"/>
      <c r="AU1004" s="68"/>
      <c r="AV1004" s="68"/>
      <c r="AW1004" s="68"/>
      <c r="AX1004" s="68"/>
      <c r="AY1004" s="14"/>
      <c r="AZ1004" s="34"/>
      <c r="BB1004" s="34"/>
    </row>
    <row r="1005" spans="1:55" ht="12.95" customHeight="1">
      <c r="A1005" s="14"/>
      <c r="B1005" s="256"/>
      <c r="C1005" s="82"/>
      <c r="D1005" s="1557"/>
      <c r="E1005" s="1558"/>
      <c r="F1005" s="1558"/>
      <c r="G1005" s="1558"/>
      <c r="H1005" s="1558"/>
      <c r="I1005" s="1558"/>
      <c r="J1005" s="1558"/>
      <c r="K1005" s="1558"/>
      <c r="L1005" s="1558"/>
      <c r="M1005" s="1558"/>
      <c r="N1005" s="1558"/>
      <c r="O1005" s="1558"/>
      <c r="P1005" s="1558"/>
      <c r="Q1005" s="1558"/>
      <c r="R1005" s="1558"/>
      <c r="S1005" s="1558"/>
      <c r="T1005" s="1558"/>
      <c r="U1005" s="1558"/>
      <c r="V1005" s="1558"/>
      <c r="W1005" s="1558"/>
      <c r="X1005" s="1558"/>
      <c r="Y1005" s="1558"/>
      <c r="Z1005" s="1558"/>
      <c r="AA1005" s="1558"/>
      <c r="AB1005" s="1558"/>
      <c r="AC1005" s="1558"/>
      <c r="AD1005" s="1558"/>
      <c r="AE1005" s="1559"/>
      <c r="AF1005" s="73"/>
      <c r="AG1005" s="14"/>
      <c r="AH1005" s="14"/>
      <c r="AI1005" s="83"/>
      <c r="AJ1005" s="1400"/>
      <c r="AK1005" s="1401"/>
      <c r="AL1005" s="1401"/>
      <c r="AM1005" s="1401"/>
      <c r="AN1005" s="1401"/>
      <c r="AO1005" s="1401"/>
      <c r="AP1005" s="1401"/>
      <c r="AQ1005" s="1402"/>
      <c r="AR1005" s="68"/>
      <c r="AS1005" s="68"/>
      <c r="AT1005" s="68"/>
      <c r="AU1005" s="68"/>
      <c r="AV1005" s="68"/>
      <c r="AW1005" s="68"/>
      <c r="AX1005" s="68"/>
      <c r="AY1005" s="912">
        <f>ROUNDDOWN(X1048/I1048,2)</f>
        <v>0</v>
      </c>
      <c r="AZ1005" s="34"/>
      <c r="BB1005" s="34"/>
    </row>
    <row r="1006" spans="1:55" ht="12.95" customHeight="1">
      <c r="A1006" s="14"/>
      <c r="B1006" s="75"/>
      <c r="C1006" s="76"/>
      <c r="D1006" s="1560"/>
      <c r="E1006" s="1561"/>
      <c r="F1006" s="1561"/>
      <c r="G1006" s="1561"/>
      <c r="H1006" s="1561"/>
      <c r="I1006" s="1561"/>
      <c r="J1006" s="1561"/>
      <c r="K1006" s="1561"/>
      <c r="L1006" s="1561"/>
      <c r="M1006" s="1561"/>
      <c r="N1006" s="1561"/>
      <c r="O1006" s="1561"/>
      <c r="P1006" s="1561"/>
      <c r="Q1006" s="1561"/>
      <c r="R1006" s="1561"/>
      <c r="S1006" s="1561"/>
      <c r="T1006" s="1561"/>
      <c r="U1006" s="1561"/>
      <c r="V1006" s="1561"/>
      <c r="W1006" s="1561"/>
      <c r="X1006" s="1561"/>
      <c r="Y1006" s="1561"/>
      <c r="Z1006" s="1561"/>
      <c r="AA1006" s="1561"/>
      <c r="AB1006" s="1561"/>
      <c r="AC1006" s="1561"/>
      <c r="AD1006" s="1561"/>
      <c r="AE1006" s="1562"/>
      <c r="AF1006" s="77"/>
      <c r="AG1006" s="7"/>
      <c r="AH1006" s="7"/>
      <c r="AI1006" s="78"/>
      <c r="AJ1006" s="1403"/>
      <c r="AK1006" s="1404"/>
      <c r="AL1006" s="1404"/>
      <c r="AM1006" s="1404"/>
      <c r="AN1006" s="1404"/>
      <c r="AO1006" s="1404"/>
      <c r="AP1006" s="1404"/>
      <c r="AQ1006" s="1405"/>
      <c r="AR1006" s="68"/>
      <c r="AS1006" s="68"/>
      <c r="AT1006" s="68"/>
      <c r="AU1006" s="68"/>
      <c r="AV1006" s="68"/>
      <c r="AW1006" s="68"/>
      <c r="AX1006" s="68"/>
      <c r="AY1006" s="912">
        <f>ROUNDDOWN(X1052/I1052,2)</f>
        <v>0.5</v>
      </c>
      <c r="AZ1006" s="34"/>
      <c r="BB1006" s="34"/>
    </row>
    <row r="1007" spans="1:55" ht="12.95" customHeight="1">
      <c r="A1007" s="14"/>
      <c r="B1007" s="254"/>
      <c r="C1007" s="80" t="s">
        <v>673</v>
      </c>
      <c r="D1007" s="1512" t="s">
        <v>1684</v>
      </c>
      <c r="E1007" s="1513"/>
      <c r="F1007" s="1513"/>
      <c r="G1007" s="1513"/>
      <c r="H1007" s="1513"/>
      <c r="I1007" s="1513"/>
      <c r="J1007" s="1513"/>
      <c r="K1007" s="1513"/>
      <c r="L1007" s="1513"/>
      <c r="M1007" s="1513"/>
      <c r="N1007" s="1513"/>
      <c r="O1007" s="1513"/>
      <c r="P1007" s="1513"/>
      <c r="Q1007" s="1513"/>
      <c r="R1007" s="1513"/>
      <c r="S1007" s="1513"/>
      <c r="T1007" s="1513"/>
      <c r="U1007" s="1513"/>
      <c r="V1007" s="1513"/>
      <c r="W1007" s="1513"/>
      <c r="X1007" s="1513"/>
      <c r="Y1007" s="1513"/>
      <c r="Z1007" s="1513"/>
      <c r="AA1007" s="1513"/>
      <c r="AB1007" s="1513"/>
      <c r="AC1007" s="1513"/>
      <c r="AD1007" s="1513"/>
      <c r="AE1007" s="1514"/>
      <c r="AF1007" s="86"/>
      <c r="AG1007" s="1520" t="s">
        <v>670</v>
      </c>
      <c r="AH1007" s="1521"/>
      <c r="AI1007" s="87"/>
      <c r="AJ1007" s="1397">
        <f>ROUND(IF(AG1007="yes",AJ992*0.1,0),0)</f>
        <v>0</v>
      </c>
      <c r="AK1007" s="1398"/>
      <c r="AL1007" s="1398"/>
      <c r="AM1007" s="1398"/>
      <c r="AN1007" s="1398"/>
      <c r="AO1007" s="1398"/>
      <c r="AP1007" s="1398"/>
      <c r="AQ1007" s="1399"/>
      <c r="AR1007" s="68"/>
      <c r="AS1007" s="68"/>
      <c r="AT1007" s="68"/>
      <c r="AU1007" s="68"/>
      <c r="AV1007" s="68"/>
      <c r="AW1007" s="68"/>
      <c r="AX1007" s="68"/>
      <c r="BB1007" s="34"/>
    </row>
    <row r="1008" spans="1:55" ht="12.95" customHeight="1">
      <c r="A1008" s="14"/>
      <c r="B1008" s="73"/>
      <c r="C1008" s="74"/>
      <c r="D1008" s="1525" t="s">
        <v>1286</v>
      </c>
      <c r="E1008" s="1526"/>
      <c r="F1008" s="1526"/>
      <c r="G1008" s="1526"/>
      <c r="H1008" s="1526"/>
      <c r="I1008" s="1526"/>
      <c r="J1008" s="1526"/>
      <c r="K1008" s="1526"/>
      <c r="L1008" s="1526"/>
      <c r="M1008" s="1526"/>
      <c r="N1008" s="1526"/>
      <c r="O1008" s="1526"/>
      <c r="P1008" s="1526"/>
      <c r="Q1008" s="1526"/>
      <c r="R1008" s="1526"/>
      <c r="S1008" s="1526"/>
      <c r="T1008" s="1526"/>
      <c r="U1008" s="1526"/>
      <c r="V1008" s="1526"/>
      <c r="W1008" s="1526"/>
      <c r="X1008" s="1526"/>
      <c r="Y1008" s="1526"/>
      <c r="Z1008" s="1526"/>
      <c r="AA1008" s="1526"/>
      <c r="AB1008" s="1526"/>
      <c r="AC1008" s="1526"/>
      <c r="AD1008" s="1526"/>
      <c r="AE1008" s="1527"/>
      <c r="AF1008" s="73"/>
      <c r="AI1008" s="83"/>
      <c r="AJ1008" s="1400"/>
      <c r="AK1008" s="1401"/>
      <c r="AL1008" s="1401"/>
      <c r="AM1008" s="1401"/>
      <c r="AN1008" s="1401"/>
      <c r="AO1008" s="1401"/>
      <c r="AP1008" s="1401"/>
      <c r="AQ1008" s="1402"/>
      <c r="AR1008" s="68"/>
      <c r="AS1008" s="68"/>
      <c r="AT1008" s="68"/>
      <c r="AU1008" s="68"/>
      <c r="AV1008" s="68"/>
      <c r="AW1008" s="68"/>
      <c r="AX1008" s="68"/>
    </row>
    <row r="1009" spans="1:52" ht="12.95" customHeight="1">
      <c r="A1009" s="14"/>
      <c r="B1009" s="73"/>
      <c r="C1009" s="74"/>
      <c r="D1009" s="1525"/>
      <c r="E1009" s="1526"/>
      <c r="F1009" s="1526"/>
      <c r="G1009" s="1526"/>
      <c r="H1009" s="1526"/>
      <c r="I1009" s="1526"/>
      <c r="J1009" s="1526"/>
      <c r="K1009" s="1526"/>
      <c r="L1009" s="1526"/>
      <c r="M1009" s="1526"/>
      <c r="N1009" s="1526"/>
      <c r="O1009" s="1526"/>
      <c r="P1009" s="1526"/>
      <c r="Q1009" s="1526"/>
      <c r="R1009" s="1526"/>
      <c r="S1009" s="1526"/>
      <c r="T1009" s="1526"/>
      <c r="U1009" s="1526"/>
      <c r="V1009" s="1526"/>
      <c r="W1009" s="1526"/>
      <c r="X1009" s="1526"/>
      <c r="Y1009" s="1526"/>
      <c r="Z1009" s="1526"/>
      <c r="AA1009" s="1526"/>
      <c r="AB1009" s="1526"/>
      <c r="AC1009" s="1526"/>
      <c r="AD1009" s="1526"/>
      <c r="AE1009" s="1527"/>
      <c r="AF1009" s="73"/>
      <c r="AG1009" s="14"/>
      <c r="AH1009" s="14"/>
      <c r="AI1009" s="83"/>
      <c r="AJ1009" s="1400"/>
      <c r="AK1009" s="1401"/>
      <c r="AL1009" s="1401"/>
      <c r="AM1009" s="1401"/>
      <c r="AN1009" s="1401"/>
      <c r="AO1009" s="1401"/>
      <c r="AP1009" s="1401"/>
      <c r="AQ1009" s="1402"/>
      <c r="AR1009" s="68"/>
      <c r="AS1009" s="68"/>
      <c r="AT1009" s="68"/>
      <c r="AU1009" s="68"/>
      <c r="AV1009" s="68"/>
      <c r="AW1009" s="68"/>
      <c r="AX1009" s="68"/>
    </row>
    <row r="1010" spans="1:52" ht="12.95" customHeight="1">
      <c r="A1010" s="14"/>
      <c r="B1010" s="85"/>
      <c r="C1010" s="76"/>
      <c r="D1010" s="1528"/>
      <c r="E1010" s="1529"/>
      <c r="F1010" s="1529"/>
      <c r="G1010" s="1529"/>
      <c r="H1010" s="1529"/>
      <c r="I1010" s="1529"/>
      <c r="J1010" s="1529"/>
      <c r="K1010" s="1529"/>
      <c r="L1010" s="1529"/>
      <c r="M1010" s="1529"/>
      <c r="N1010" s="1529"/>
      <c r="O1010" s="1529"/>
      <c r="P1010" s="1529"/>
      <c r="Q1010" s="1529"/>
      <c r="R1010" s="1529"/>
      <c r="S1010" s="1529"/>
      <c r="T1010" s="1529"/>
      <c r="U1010" s="1529"/>
      <c r="V1010" s="1529"/>
      <c r="W1010" s="1529"/>
      <c r="X1010" s="1529"/>
      <c r="Y1010" s="1529"/>
      <c r="Z1010" s="1529"/>
      <c r="AA1010" s="1529"/>
      <c r="AB1010" s="1529"/>
      <c r="AC1010" s="1529"/>
      <c r="AD1010" s="1529"/>
      <c r="AE1010" s="1530"/>
      <c r="AF1010" s="77"/>
      <c r="AG1010" s="7"/>
      <c r="AH1010" s="7"/>
      <c r="AI1010" s="78"/>
      <c r="AJ1010" s="1403"/>
      <c r="AK1010" s="1404"/>
      <c r="AL1010" s="1404"/>
      <c r="AM1010" s="1404"/>
      <c r="AN1010" s="1404"/>
      <c r="AO1010" s="1404"/>
      <c r="AP1010" s="1404"/>
      <c r="AQ1010" s="1405"/>
      <c r="AR1010" s="68"/>
      <c r="AS1010" s="68"/>
      <c r="AT1010" s="68"/>
      <c r="AU1010" s="68"/>
      <c r="AV1010" s="68"/>
      <c r="AW1010" s="68"/>
      <c r="AX1010" s="68"/>
    </row>
    <row r="1011" spans="1:52" ht="12.95" customHeight="1">
      <c r="A1011" s="14"/>
      <c r="B1011" s="79"/>
      <c r="C1011" s="80" t="s">
        <v>212</v>
      </c>
      <c r="D1011" s="1512" t="s">
        <v>1288</v>
      </c>
      <c r="E1011" s="1513"/>
      <c r="F1011" s="1513"/>
      <c r="G1011" s="1513"/>
      <c r="H1011" s="1513"/>
      <c r="I1011" s="1513"/>
      <c r="J1011" s="1513"/>
      <c r="K1011" s="1513"/>
      <c r="L1011" s="1513"/>
      <c r="M1011" s="1513"/>
      <c r="N1011" s="1513"/>
      <c r="O1011" s="1513"/>
      <c r="P1011" s="1513"/>
      <c r="Q1011" s="1513"/>
      <c r="R1011" s="1513"/>
      <c r="S1011" s="1513"/>
      <c r="T1011" s="1513"/>
      <c r="U1011" s="1513"/>
      <c r="V1011" s="1513"/>
      <c r="W1011" s="1513"/>
      <c r="X1011" s="1513"/>
      <c r="Y1011" s="1513"/>
      <c r="Z1011" s="1513"/>
      <c r="AA1011" s="1513"/>
      <c r="AB1011" s="1513"/>
      <c r="AC1011" s="1513"/>
      <c r="AD1011" s="1513"/>
      <c r="AE1011" s="1514"/>
      <c r="AF1011" s="79"/>
      <c r="AG1011" s="1520" t="s">
        <v>670</v>
      </c>
      <c r="AH1011" s="1521"/>
      <c r="AI1011" s="87"/>
      <c r="AJ1011" s="1397">
        <f>ROUND(IF(AG1011="yes",AJ992*0.02,0),0)</f>
        <v>0</v>
      </c>
      <c r="AK1011" s="1398"/>
      <c r="AL1011" s="1398"/>
      <c r="AM1011" s="1398"/>
      <c r="AN1011" s="1398"/>
      <c r="AO1011" s="1398"/>
      <c r="AP1011" s="1398"/>
      <c r="AQ1011" s="1399"/>
      <c r="AR1011" s="68"/>
      <c r="AS1011" s="68"/>
      <c r="AT1011" s="68"/>
      <c r="AU1011" s="68"/>
      <c r="AV1011" s="68"/>
      <c r="AW1011" s="68"/>
      <c r="AX1011" s="68"/>
    </row>
    <row r="1012" spans="1:52" ht="14.25" customHeight="1">
      <c r="A1012" s="14"/>
      <c r="B1012" s="73"/>
      <c r="C1012" s="74"/>
      <c r="D1012" s="1528" t="s">
        <v>1289</v>
      </c>
      <c r="E1012" s="1529"/>
      <c r="F1012" s="1529"/>
      <c r="G1012" s="1529"/>
      <c r="H1012" s="1529"/>
      <c r="I1012" s="1529"/>
      <c r="J1012" s="1529"/>
      <c r="K1012" s="1529"/>
      <c r="L1012" s="1529"/>
      <c r="M1012" s="1529"/>
      <c r="N1012" s="1529"/>
      <c r="O1012" s="1529"/>
      <c r="P1012" s="1529"/>
      <c r="Q1012" s="1529"/>
      <c r="R1012" s="1529"/>
      <c r="S1012" s="1529"/>
      <c r="T1012" s="1529"/>
      <c r="U1012" s="1529"/>
      <c r="V1012" s="1529"/>
      <c r="W1012" s="1529"/>
      <c r="X1012" s="1529"/>
      <c r="Y1012" s="1529"/>
      <c r="Z1012" s="1529"/>
      <c r="AA1012" s="1529"/>
      <c r="AB1012" s="1529"/>
      <c r="AC1012" s="1529"/>
      <c r="AD1012" s="1529"/>
      <c r="AE1012" s="1530"/>
      <c r="AF1012" s="77"/>
      <c r="AG1012" s="7"/>
      <c r="AH1012" s="7"/>
      <c r="AI1012" s="78"/>
      <c r="AJ1012" s="1403"/>
      <c r="AK1012" s="1404"/>
      <c r="AL1012" s="1404"/>
      <c r="AM1012" s="1404"/>
      <c r="AN1012" s="1404"/>
      <c r="AO1012" s="1404"/>
      <c r="AP1012" s="1404"/>
      <c r="AQ1012" s="1405"/>
      <c r="AR1012" s="68"/>
      <c r="AS1012" s="68"/>
      <c r="AT1012" s="68"/>
      <c r="AU1012" s="68"/>
      <c r="AV1012" s="68"/>
      <c r="AW1012" s="68"/>
      <c r="AX1012" s="3" t="s">
        <v>1842</v>
      </c>
      <c r="AZ1012" s="3" t="s">
        <v>2609</v>
      </c>
    </row>
    <row r="1013" spans="1:52" ht="12.95" customHeight="1">
      <c r="A1013" s="14"/>
      <c r="B1013" s="79"/>
      <c r="C1013" s="80" t="s">
        <v>215</v>
      </c>
      <c r="D1013" s="1512" t="s">
        <v>1290</v>
      </c>
      <c r="E1013" s="1513"/>
      <c r="F1013" s="1513"/>
      <c r="G1013" s="1513"/>
      <c r="H1013" s="1513"/>
      <c r="I1013" s="1513"/>
      <c r="J1013" s="1513"/>
      <c r="K1013" s="1513"/>
      <c r="L1013" s="1513"/>
      <c r="M1013" s="1513"/>
      <c r="N1013" s="1513"/>
      <c r="O1013" s="1513"/>
      <c r="P1013" s="1513"/>
      <c r="Q1013" s="1513"/>
      <c r="R1013" s="1513"/>
      <c r="S1013" s="1513"/>
      <c r="T1013" s="1513"/>
      <c r="U1013" s="1513"/>
      <c r="V1013" s="1513"/>
      <c r="W1013" s="1513"/>
      <c r="X1013" s="1513"/>
      <c r="Y1013" s="1513"/>
      <c r="Z1013" s="1513"/>
      <c r="AA1013" s="1513"/>
      <c r="AB1013" s="1513"/>
      <c r="AC1013" s="1513"/>
      <c r="AD1013" s="1513"/>
      <c r="AE1013" s="1514"/>
      <c r="AF1013" s="79"/>
      <c r="AG1013" s="1520" t="s">
        <v>670</v>
      </c>
      <c r="AH1013" s="1521"/>
      <c r="AI1013" s="79"/>
      <c r="AJ1013" s="1397">
        <f>ROUND(IF(AG1013="yes",AJ992*0.02,0),0)</f>
        <v>0</v>
      </c>
      <c r="AK1013" s="1398"/>
      <c r="AL1013" s="1398"/>
      <c r="AM1013" s="1398"/>
      <c r="AN1013" s="1398"/>
      <c r="AO1013" s="1398"/>
      <c r="AP1013" s="1398"/>
      <c r="AQ1013" s="1399"/>
      <c r="AR1013" s="68"/>
      <c r="AS1013" s="68"/>
      <c r="AT1013" s="68"/>
      <c r="AU1013" s="68"/>
      <c r="AV1013" s="68"/>
      <c r="AW1013" s="68"/>
      <c r="AX1013" s="3">
        <v>1</v>
      </c>
      <c r="AY1013" s="200">
        <f>IF((_xlfn.XLOOKUP(AX1013,$C$1065:$C$1103,$A$1065:$A$1103,"",0,1))="Yes",AZ1013,0)</f>
        <v>0</v>
      </c>
      <c r="AZ1013" s="1254">
        <v>0.2</v>
      </c>
    </row>
    <row r="1014" spans="1:52" ht="12.95" customHeight="1">
      <c r="A1014" s="14"/>
      <c r="B1014" s="73"/>
      <c r="C1014" s="74"/>
      <c r="D1014" s="1525" t="s">
        <v>1291</v>
      </c>
      <c r="E1014" s="1526"/>
      <c r="F1014" s="1526"/>
      <c r="G1014" s="1526"/>
      <c r="H1014" s="1526"/>
      <c r="I1014" s="1526"/>
      <c r="J1014" s="1526"/>
      <c r="K1014" s="1526"/>
      <c r="L1014" s="1526"/>
      <c r="M1014" s="1526"/>
      <c r="N1014" s="1526"/>
      <c r="O1014" s="1526"/>
      <c r="P1014" s="1526"/>
      <c r="Q1014" s="1526"/>
      <c r="R1014" s="1526"/>
      <c r="S1014" s="1526"/>
      <c r="T1014" s="1526"/>
      <c r="U1014" s="1526"/>
      <c r="V1014" s="1526"/>
      <c r="W1014" s="1526"/>
      <c r="X1014" s="1526"/>
      <c r="Y1014" s="1526"/>
      <c r="Z1014" s="1526"/>
      <c r="AA1014" s="1526"/>
      <c r="AB1014" s="1526"/>
      <c r="AC1014" s="1526"/>
      <c r="AD1014" s="1526"/>
      <c r="AE1014" s="1527"/>
      <c r="AF1014" s="1384" t="str">
        <f>IF(AND(AG1013="yes",T212&lt;&gt;1),"The project may not be eligible for this boost","")</f>
        <v/>
      </c>
      <c r="AG1014" s="1385"/>
      <c r="AH1014" s="1385"/>
      <c r="AI1014" s="1386"/>
      <c r="AJ1014" s="1400"/>
      <c r="AK1014" s="1401"/>
      <c r="AL1014" s="1401"/>
      <c r="AM1014" s="1401"/>
      <c r="AN1014" s="1401"/>
      <c r="AO1014" s="1401"/>
      <c r="AP1014" s="1401"/>
      <c r="AQ1014" s="1402"/>
      <c r="AR1014" s="68"/>
      <c r="AS1014" s="68"/>
      <c r="AT1014" s="68"/>
      <c r="AU1014" s="68"/>
      <c r="AV1014" s="68"/>
      <c r="AW1014" s="68"/>
      <c r="AX1014" s="3">
        <v>2</v>
      </c>
      <c r="AY1014" s="200">
        <f t="shared" ref="AY1014:AY1023" si="53">IF((_xlfn.XLOOKUP(AX1014,$C$1065:$C$1103,$A$1065:$A$1103,"",0,1))="Yes",AZ1014,0)</f>
        <v>0</v>
      </c>
      <c r="AZ1014" s="1254">
        <v>0.15</v>
      </c>
    </row>
    <row r="1015" spans="1:52" ht="12.95" customHeight="1">
      <c r="A1015" s="14"/>
      <c r="B1015" s="75"/>
      <c r="C1015" s="76"/>
      <c r="D1015" s="1528"/>
      <c r="E1015" s="1529"/>
      <c r="F1015" s="1529"/>
      <c r="G1015" s="1529"/>
      <c r="H1015" s="1529"/>
      <c r="I1015" s="1529"/>
      <c r="J1015" s="1529"/>
      <c r="K1015" s="1529"/>
      <c r="L1015" s="1529"/>
      <c r="M1015" s="1529"/>
      <c r="N1015" s="1529"/>
      <c r="O1015" s="1529"/>
      <c r="P1015" s="1529"/>
      <c r="Q1015" s="1529"/>
      <c r="R1015" s="1529"/>
      <c r="S1015" s="1529"/>
      <c r="T1015" s="1529"/>
      <c r="U1015" s="1529"/>
      <c r="V1015" s="1529"/>
      <c r="W1015" s="1529"/>
      <c r="X1015" s="1529"/>
      <c r="Y1015" s="1529"/>
      <c r="Z1015" s="1529"/>
      <c r="AA1015" s="1529"/>
      <c r="AB1015" s="1529"/>
      <c r="AC1015" s="1529"/>
      <c r="AD1015" s="1529"/>
      <c r="AE1015" s="1530"/>
      <c r="AF1015" s="1387"/>
      <c r="AG1015" s="1388"/>
      <c r="AH1015" s="1388"/>
      <c r="AI1015" s="1389"/>
      <c r="AJ1015" s="1403"/>
      <c r="AK1015" s="1404"/>
      <c r="AL1015" s="1404"/>
      <c r="AM1015" s="1404"/>
      <c r="AN1015" s="1404"/>
      <c r="AO1015" s="1404"/>
      <c r="AP1015" s="1404"/>
      <c r="AQ1015" s="1405"/>
      <c r="AR1015" s="68"/>
      <c r="AS1015" s="68"/>
      <c r="AT1015" s="68"/>
      <c r="AU1015" s="68"/>
      <c r="AV1015" s="68"/>
      <c r="AW1015" s="68"/>
      <c r="AX1015" s="3">
        <v>3</v>
      </c>
      <c r="AY1015" s="200">
        <f t="shared" si="53"/>
        <v>0</v>
      </c>
      <c r="AZ1015" s="1254">
        <v>0.05</v>
      </c>
    </row>
    <row r="1016" spans="1:52" ht="12.95" customHeight="1">
      <c r="A1016" s="14"/>
      <c r="B1016" s="79"/>
      <c r="C1016" s="80" t="s">
        <v>218</v>
      </c>
      <c r="D1016" s="1522" t="s">
        <v>2238</v>
      </c>
      <c r="E1016" s="1523"/>
      <c r="F1016" s="1523"/>
      <c r="G1016" s="1523"/>
      <c r="H1016" s="1523"/>
      <c r="I1016" s="1523"/>
      <c r="J1016" s="1523"/>
      <c r="K1016" s="1523"/>
      <c r="L1016" s="1523"/>
      <c r="M1016" s="1523"/>
      <c r="N1016" s="1523"/>
      <c r="O1016" s="1523"/>
      <c r="P1016" s="1523"/>
      <c r="Q1016" s="1523"/>
      <c r="R1016" s="1523"/>
      <c r="S1016" s="1523"/>
      <c r="T1016" s="1523"/>
      <c r="U1016" s="1523"/>
      <c r="V1016" s="1523"/>
      <c r="W1016" s="1523"/>
      <c r="X1016" s="1523"/>
      <c r="Y1016" s="1523"/>
      <c r="Z1016" s="1523"/>
      <c r="AA1016" s="1523"/>
      <c r="AB1016" s="1523"/>
      <c r="AC1016" s="1523"/>
      <c r="AD1016" s="1523"/>
      <c r="AE1016" s="1524"/>
      <c r="AF1016" s="79"/>
      <c r="AG1016" s="1520" t="s">
        <v>670</v>
      </c>
      <c r="AH1016" s="1521"/>
      <c r="AI1016" s="87"/>
      <c r="AJ1016" s="1397">
        <f>IF(AG1016="yes",AJ992*AY1024,0)</f>
        <v>0</v>
      </c>
      <c r="AK1016" s="1398"/>
      <c r="AL1016" s="1398"/>
      <c r="AM1016" s="1398"/>
      <c r="AN1016" s="1398"/>
      <c r="AO1016" s="1398"/>
      <c r="AP1016" s="1398"/>
      <c r="AQ1016" s="1399"/>
      <c r="AR1016" s="68"/>
      <c r="AS1016" s="68"/>
      <c r="AT1016" s="68"/>
      <c r="AU1016" s="68"/>
      <c r="AV1016" s="68"/>
      <c r="AW1016" s="68"/>
      <c r="AX1016" s="3">
        <v>4</v>
      </c>
      <c r="AY1016" s="200">
        <f t="shared" si="53"/>
        <v>0</v>
      </c>
      <c r="AZ1016" s="1254">
        <v>0.02</v>
      </c>
    </row>
    <row r="1017" spans="1:52" ht="12.95" customHeight="1">
      <c r="A1017" s="14"/>
      <c r="B1017" s="73"/>
      <c r="C1017" s="74"/>
      <c r="D1017" s="1525" t="s">
        <v>1292</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1378" t="str">
        <f>IF(AND(AG1016="Yes",AY1024=0),AY1027,"")</f>
        <v/>
      </c>
      <c r="AG1017" s="1379"/>
      <c r="AH1017" s="1379"/>
      <c r="AI1017" s="1380"/>
      <c r="AJ1017" s="1400"/>
      <c r="AK1017" s="1401"/>
      <c r="AL1017" s="1401"/>
      <c r="AM1017" s="1401"/>
      <c r="AN1017" s="1401"/>
      <c r="AO1017" s="1401"/>
      <c r="AP1017" s="1401"/>
      <c r="AQ1017" s="1402"/>
      <c r="AR1017" s="68"/>
      <c r="AS1017" s="68"/>
      <c r="AT1017" s="68"/>
      <c r="AU1017" s="68"/>
      <c r="AV1017" s="68"/>
      <c r="AW1017" s="68"/>
      <c r="AX1017" s="3">
        <v>5</v>
      </c>
      <c r="AY1017" s="200">
        <f t="shared" si="53"/>
        <v>0</v>
      </c>
      <c r="AZ1017" s="1254">
        <v>0.04</v>
      </c>
    </row>
    <row r="1018" spans="1:52" ht="12.95" customHeight="1">
      <c r="A1018" s="14"/>
      <c r="B1018" s="73"/>
      <c r="C1018" s="74"/>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1378"/>
      <c r="AG1018" s="1379"/>
      <c r="AH1018" s="1379"/>
      <c r="AI1018" s="1380"/>
      <c r="AJ1018" s="1400"/>
      <c r="AK1018" s="1401"/>
      <c r="AL1018" s="1401"/>
      <c r="AM1018" s="1401"/>
      <c r="AN1018" s="1401"/>
      <c r="AO1018" s="1401"/>
      <c r="AP1018" s="1401"/>
      <c r="AQ1018" s="1402"/>
      <c r="AR1018" s="68"/>
      <c r="AS1018" s="68"/>
      <c r="AT1018" s="68"/>
      <c r="AU1018" s="68"/>
      <c r="AV1018" s="68"/>
      <c r="AW1018" s="68"/>
      <c r="AX1018" s="3">
        <v>6</v>
      </c>
      <c r="AY1018" s="200">
        <f t="shared" si="53"/>
        <v>0</v>
      </c>
      <c r="AZ1018" s="1254">
        <v>0.04</v>
      </c>
    </row>
    <row r="1019" spans="1:52" ht="12.95" customHeight="1">
      <c r="A1019" s="14"/>
      <c r="B1019" s="81"/>
      <c r="C1019" s="82"/>
      <c r="D1019" s="1528"/>
      <c r="E1019" s="1529"/>
      <c r="F1019" s="1529"/>
      <c r="G1019" s="1529"/>
      <c r="H1019" s="1529"/>
      <c r="I1019" s="1529"/>
      <c r="J1019" s="1529"/>
      <c r="K1019" s="1529"/>
      <c r="L1019" s="1529"/>
      <c r="M1019" s="1529"/>
      <c r="N1019" s="1529"/>
      <c r="O1019" s="1529"/>
      <c r="P1019" s="1529"/>
      <c r="Q1019" s="1529"/>
      <c r="R1019" s="1529"/>
      <c r="S1019" s="1529"/>
      <c r="T1019" s="1529"/>
      <c r="U1019" s="1529"/>
      <c r="V1019" s="1529"/>
      <c r="W1019" s="1529"/>
      <c r="X1019" s="1529"/>
      <c r="Y1019" s="1529"/>
      <c r="Z1019" s="1529"/>
      <c r="AA1019" s="1529"/>
      <c r="AB1019" s="1529"/>
      <c r="AC1019" s="1529"/>
      <c r="AD1019" s="1529"/>
      <c r="AE1019" s="1530"/>
      <c r="AF1019" s="1381"/>
      <c r="AG1019" s="1382"/>
      <c r="AH1019" s="1382"/>
      <c r="AI1019" s="1383"/>
      <c r="AJ1019" s="1403"/>
      <c r="AK1019" s="1404"/>
      <c r="AL1019" s="1404"/>
      <c r="AM1019" s="1404"/>
      <c r="AN1019" s="1404"/>
      <c r="AO1019" s="1404"/>
      <c r="AP1019" s="1404"/>
      <c r="AQ1019" s="1405"/>
      <c r="AR1019" s="68"/>
      <c r="AS1019" s="68"/>
      <c r="AT1019" s="68"/>
      <c r="AU1019" s="68"/>
      <c r="AV1019" s="68"/>
      <c r="AW1019" s="68"/>
      <c r="AX1019" s="3">
        <v>7</v>
      </c>
      <c r="AY1019" s="200">
        <f t="shared" si="53"/>
        <v>0</v>
      </c>
      <c r="AZ1019" s="1254">
        <v>0.01</v>
      </c>
    </row>
    <row r="1020" spans="1:52" ht="12.95" customHeight="1">
      <c r="A1020" s="14"/>
      <c r="B1020" s="79"/>
      <c r="C1020" s="80" t="s">
        <v>223</v>
      </c>
      <c r="D1020" s="1539" t="s">
        <v>1293</v>
      </c>
      <c r="E1020" s="1540"/>
      <c r="F1020" s="1540"/>
      <c r="G1020" s="1540"/>
      <c r="H1020" s="1540"/>
      <c r="I1020" s="1540"/>
      <c r="J1020" s="1540"/>
      <c r="K1020" s="1540"/>
      <c r="L1020" s="1540"/>
      <c r="M1020" s="1540"/>
      <c r="N1020" s="1540"/>
      <c r="O1020" s="1540"/>
      <c r="P1020" s="1540"/>
      <c r="Q1020" s="1540"/>
      <c r="R1020" s="1540"/>
      <c r="S1020" s="1540"/>
      <c r="T1020" s="1540"/>
      <c r="U1020" s="1540"/>
      <c r="V1020" s="1540"/>
      <c r="W1020" s="1540"/>
      <c r="X1020" s="1540"/>
      <c r="Y1020" s="1540"/>
      <c r="Z1020" s="1540"/>
      <c r="AA1020" s="1540"/>
      <c r="AB1020" s="1540"/>
      <c r="AC1020" s="1540"/>
      <c r="AD1020" s="1540"/>
      <c r="AE1020" s="1541"/>
      <c r="AF1020" s="79"/>
      <c r="AG1020" s="1520" t="s">
        <v>670</v>
      </c>
      <c r="AH1020" s="1521"/>
      <c r="AI1020" s="87"/>
      <c r="AJ1020" s="1397">
        <f>ROUND(IF(AND(AG1020="Yes",J1024&lt;&gt;"N/A",AF1023&lt;&gt;""),MIN(AF1023,(0.15*AJ992)),0),0)</f>
        <v>0</v>
      </c>
      <c r="AK1020" s="1398"/>
      <c r="AL1020" s="1398"/>
      <c r="AM1020" s="1398"/>
      <c r="AN1020" s="1398"/>
      <c r="AO1020" s="1398"/>
      <c r="AP1020" s="1398"/>
      <c r="AQ1020" s="1399"/>
      <c r="AR1020" s="68"/>
      <c r="AS1020" s="68"/>
      <c r="AT1020" s="68"/>
      <c r="AU1020" s="68"/>
      <c r="AV1020" s="68"/>
      <c r="AW1020" s="68"/>
      <c r="AX1020" s="3">
        <v>8</v>
      </c>
      <c r="AY1020" s="200">
        <f t="shared" si="53"/>
        <v>0</v>
      </c>
      <c r="AZ1020" s="1254">
        <v>0.01</v>
      </c>
    </row>
    <row r="1021" spans="1:52" ht="12.95" customHeight="1">
      <c r="A1021" s="14"/>
      <c r="B1021" s="81"/>
      <c r="C1021" s="84"/>
      <c r="D1021" s="1542"/>
      <c r="E1021" s="1543"/>
      <c r="F1021" s="1543"/>
      <c r="G1021" s="1543"/>
      <c r="H1021" s="1543"/>
      <c r="I1021" s="1543"/>
      <c r="J1021" s="1543"/>
      <c r="K1021" s="1543"/>
      <c r="L1021" s="1543"/>
      <c r="M1021" s="1543"/>
      <c r="N1021" s="1543"/>
      <c r="O1021" s="1543"/>
      <c r="P1021" s="1543"/>
      <c r="Q1021" s="1543"/>
      <c r="R1021" s="1543"/>
      <c r="S1021" s="1543"/>
      <c r="T1021" s="1543"/>
      <c r="U1021" s="1543"/>
      <c r="V1021" s="1543"/>
      <c r="W1021" s="1543"/>
      <c r="X1021" s="1543"/>
      <c r="Y1021" s="1543"/>
      <c r="Z1021" s="1543"/>
      <c r="AA1021" s="1543"/>
      <c r="AB1021" s="1543"/>
      <c r="AC1021" s="1543"/>
      <c r="AD1021" s="1543"/>
      <c r="AE1021" s="1544"/>
      <c r="AF1021" s="1531" t="str">
        <f>IF(AG1020="yes","Please Select Type and Enter Amount:","")</f>
        <v/>
      </c>
      <c r="AG1021" s="1532"/>
      <c r="AH1021" s="1532"/>
      <c r="AI1021" s="1533"/>
      <c r="AJ1021" s="1400"/>
      <c r="AK1021" s="1401"/>
      <c r="AL1021" s="1401"/>
      <c r="AM1021" s="1401"/>
      <c r="AN1021" s="1401"/>
      <c r="AO1021" s="1401"/>
      <c r="AP1021" s="1401"/>
      <c r="AQ1021" s="1402"/>
      <c r="AR1021" s="68"/>
      <c r="AS1021" s="68"/>
      <c r="AT1021" s="68"/>
      <c r="AU1021" s="68"/>
      <c r="AV1021" s="68"/>
      <c r="AW1021" s="68"/>
      <c r="AX1021" s="3">
        <v>9</v>
      </c>
      <c r="AY1021" s="200">
        <f t="shared" si="53"/>
        <v>0</v>
      </c>
      <c r="AZ1021" s="1254">
        <v>0.01</v>
      </c>
    </row>
    <row r="1022" spans="1:52" ht="12.95" customHeight="1">
      <c r="A1022" s="14"/>
      <c r="B1022" s="81"/>
      <c r="C1022" s="84"/>
      <c r="D1022" s="1525" t="s">
        <v>1294</v>
      </c>
      <c r="E1022" s="1526"/>
      <c r="F1022" s="1526"/>
      <c r="G1022" s="1526"/>
      <c r="H1022" s="1526"/>
      <c r="I1022" s="1526"/>
      <c r="J1022" s="1526"/>
      <c r="K1022" s="1526"/>
      <c r="L1022" s="1526"/>
      <c r="M1022" s="1526"/>
      <c r="N1022" s="1526"/>
      <c r="O1022" s="1526"/>
      <c r="P1022" s="1526"/>
      <c r="Q1022" s="1526"/>
      <c r="R1022" s="1526"/>
      <c r="S1022" s="1526"/>
      <c r="T1022" s="1526"/>
      <c r="U1022" s="1526"/>
      <c r="V1022" s="1526"/>
      <c r="W1022" s="1526"/>
      <c r="X1022" s="1526"/>
      <c r="Y1022" s="1526"/>
      <c r="Z1022" s="1526"/>
      <c r="AA1022" s="1526"/>
      <c r="AB1022" s="1526"/>
      <c r="AC1022" s="1526"/>
      <c r="AD1022" s="1526"/>
      <c r="AE1022" s="1527"/>
      <c r="AF1022" s="1531"/>
      <c r="AG1022" s="1532"/>
      <c r="AH1022" s="1532"/>
      <c r="AI1022" s="1533"/>
      <c r="AJ1022" s="1400"/>
      <c r="AK1022" s="1401"/>
      <c r="AL1022" s="1401"/>
      <c r="AM1022" s="1401"/>
      <c r="AN1022" s="1401"/>
      <c r="AO1022" s="1401"/>
      <c r="AP1022" s="1401"/>
      <c r="AQ1022" s="1402"/>
      <c r="AR1022" s="68"/>
      <c r="AS1022" s="68"/>
      <c r="AT1022" s="68"/>
      <c r="AU1022" s="68"/>
      <c r="AV1022" s="68"/>
      <c r="AW1022" s="68"/>
      <c r="AX1022" s="3">
        <v>10</v>
      </c>
      <c r="AY1022" s="200">
        <f t="shared" si="53"/>
        <v>0</v>
      </c>
      <c r="AZ1022" s="1254">
        <v>0.02</v>
      </c>
    </row>
    <row r="1023" spans="1:52" ht="12.95" customHeight="1">
      <c r="A1023" s="14"/>
      <c r="B1023" s="81"/>
      <c r="C1023" s="84"/>
      <c r="D1023" s="1525"/>
      <c r="E1023" s="1526"/>
      <c r="F1023" s="1526"/>
      <c r="G1023" s="1526"/>
      <c r="H1023" s="1526"/>
      <c r="I1023" s="1526"/>
      <c r="J1023" s="1526"/>
      <c r="K1023" s="1526"/>
      <c r="L1023" s="1526"/>
      <c r="M1023" s="1526"/>
      <c r="N1023" s="1526"/>
      <c r="O1023" s="1526"/>
      <c r="P1023" s="1526"/>
      <c r="Q1023" s="1526"/>
      <c r="R1023" s="1526"/>
      <c r="S1023" s="1526"/>
      <c r="T1023" s="1526"/>
      <c r="U1023" s="1526"/>
      <c r="V1023" s="1526"/>
      <c r="W1023" s="1526"/>
      <c r="X1023" s="1526"/>
      <c r="Y1023" s="1526"/>
      <c r="Z1023" s="1526"/>
      <c r="AA1023" s="1526"/>
      <c r="AB1023" s="1526"/>
      <c r="AC1023" s="1526"/>
      <c r="AD1023" s="1526"/>
      <c r="AE1023" s="1527"/>
      <c r="AF1023" s="1573"/>
      <c r="AG1023" s="1573"/>
      <c r="AH1023" s="1573"/>
      <c r="AI1023" s="1573"/>
      <c r="AJ1023" s="1400"/>
      <c r="AK1023" s="1401"/>
      <c r="AL1023" s="1401"/>
      <c r="AM1023" s="1401"/>
      <c r="AN1023" s="1401"/>
      <c r="AO1023" s="1401"/>
      <c r="AP1023" s="1401"/>
      <c r="AQ1023" s="1402"/>
      <c r="AR1023" s="68"/>
      <c r="AS1023" s="68"/>
      <c r="AT1023" s="68"/>
      <c r="AU1023" s="68"/>
      <c r="AV1023" s="68"/>
      <c r="AW1023" s="68"/>
      <c r="AX1023" s="3">
        <v>11</v>
      </c>
      <c r="AY1023" s="200">
        <f t="shared" si="53"/>
        <v>0</v>
      </c>
      <c r="AZ1023" s="1254">
        <v>0.02</v>
      </c>
    </row>
    <row r="1024" spans="1:52" ht="12.95" customHeight="1">
      <c r="A1024" s="14"/>
      <c r="B1024" s="81"/>
      <c r="C1024" s="84"/>
      <c r="D1024" s="525" t="s">
        <v>359</v>
      </c>
      <c r="E1024" s="90"/>
      <c r="F1024" s="90"/>
      <c r="G1024" s="104"/>
      <c r="H1024" s="104"/>
      <c r="I1024" s="49"/>
      <c r="J1024" s="1503" t="s">
        <v>592</v>
      </c>
      <c r="K1024" s="1504"/>
      <c r="L1024" s="1504"/>
      <c r="M1024" s="1504"/>
      <c r="N1024" s="1504"/>
      <c r="O1024" s="1504"/>
      <c r="P1024" s="1504"/>
      <c r="Q1024" s="1504"/>
      <c r="R1024" s="1504"/>
      <c r="S1024" s="1504"/>
      <c r="T1024" s="1504"/>
      <c r="U1024" s="1504"/>
      <c r="V1024" s="1504"/>
      <c r="W1024" s="1504"/>
      <c r="X1024" s="1504"/>
      <c r="Y1024" s="1504"/>
      <c r="Z1024" s="1504"/>
      <c r="AA1024" s="1504"/>
      <c r="AB1024" s="1504"/>
      <c r="AC1024" s="1504"/>
      <c r="AD1024" s="1504"/>
      <c r="AE1024" s="1505"/>
      <c r="AF1024" s="1573"/>
      <c r="AG1024" s="1573"/>
      <c r="AH1024" s="1573"/>
      <c r="AI1024" s="1573"/>
      <c r="AJ1024" s="1403"/>
      <c r="AK1024" s="1404"/>
      <c r="AL1024" s="1404"/>
      <c r="AM1024" s="1404"/>
      <c r="AN1024" s="1404"/>
      <c r="AO1024" s="1404"/>
      <c r="AP1024" s="1404"/>
      <c r="AQ1024" s="1405"/>
      <c r="AR1024" s="68"/>
      <c r="AS1024" s="68"/>
      <c r="AT1024" s="68"/>
      <c r="AU1024" s="68"/>
      <c r="AV1024" s="68"/>
      <c r="AW1024" s="68"/>
      <c r="AX1024" s="1031" t="s">
        <v>2608</v>
      </c>
      <c r="AY1024" s="201">
        <f>IF(SUM(AY1015:AY1023)&lt;=0.2,SUM(AY1015:AY1023),0.2)</f>
        <v>0</v>
      </c>
    </row>
    <row r="1025" spans="1:57" ht="12.95" customHeight="1">
      <c r="A1025" s="14"/>
      <c r="B1025" s="79"/>
      <c r="C1025" s="80" t="s">
        <v>229</v>
      </c>
      <c r="D1025" s="1512" t="s">
        <v>1295</v>
      </c>
      <c r="E1025" s="1513"/>
      <c r="F1025" s="1513"/>
      <c r="G1025" s="1513"/>
      <c r="H1025" s="1513"/>
      <c r="I1025" s="1513"/>
      <c r="J1025" s="1513"/>
      <c r="K1025" s="1513"/>
      <c r="L1025" s="1513"/>
      <c r="M1025" s="1513"/>
      <c r="N1025" s="1513"/>
      <c r="O1025" s="1513"/>
      <c r="P1025" s="1513"/>
      <c r="Q1025" s="1513"/>
      <c r="R1025" s="1513"/>
      <c r="S1025" s="1513"/>
      <c r="T1025" s="1513"/>
      <c r="U1025" s="1513"/>
      <c r="V1025" s="1513"/>
      <c r="W1025" s="1513"/>
      <c r="X1025" s="1513"/>
      <c r="Y1025" s="1513"/>
      <c r="Z1025" s="1513"/>
      <c r="AA1025" s="1513"/>
      <c r="AB1025" s="1513"/>
      <c r="AC1025" s="1513"/>
      <c r="AD1025" s="1513"/>
      <c r="AE1025" s="1514"/>
      <c r="AF1025" s="79"/>
      <c r="AG1025" s="1520" t="s">
        <v>670</v>
      </c>
      <c r="AH1025" s="1521"/>
      <c r="AI1025" s="87"/>
      <c r="AJ1025" s="1397">
        <f>ROUND(IF(AG1025="Yes",AF1027,0),0)</f>
        <v>0</v>
      </c>
      <c r="AK1025" s="1398"/>
      <c r="AL1025" s="1398"/>
      <c r="AM1025" s="1398"/>
      <c r="AN1025" s="1398"/>
      <c r="AO1025" s="1398"/>
      <c r="AP1025" s="1398"/>
      <c r="AQ1025" s="1399"/>
      <c r="AR1025" s="68"/>
      <c r="AS1025" s="68"/>
      <c r="AT1025" s="68"/>
      <c r="AU1025" s="68"/>
      <c r="AV1025" s="68"/>
      <c r="AW1025" s="68"/>
      <c r="AX1025" s="68"/>
      <c r="AY1025" s="68"/>
    </row>
    <row r="1026" spans="1:57" ht="12.95" customHeight="1">
      <c r="A1026" s="14"/>
      <c r="B1026" s="73"/>
      <c r="C1026" s="74"/>
      <c r="D1026" s="1525" t="s">
        <v>1691</v>
      </c>
      <c r="E1026" s="1526"/>
      <c r="F1026" s="1526"/>
      <c r="G1026" s="1526"/>
      <c r="H1026" s="1526"/>
      <c r="I1026" s="1526"/>
      <c r="J1026" s="1526"/>
      <c r="K1026" s="1526"/>
      <c r="L1026" s="1526"/>
      <c r="M1026" s="1526"/>
      <c r="N1026" s="1526"/>
      <c r="O1026" s="1526"/>
      <c r="P1026" s="1526"/>
      <c r="Q1026" s="1526"/>
      <c r="R1026" s="1526"/>
      <c r="S1026" s="1526"/>
      <c r="T1026" s="1526"/>
      <c r="U1026" s="1526"/>
      <c r="V1026" s="1526"/>
      <c r="W1026" s="1526"/>
      <c r="X1026" s="1526"/>
      <c r="Y1026" s="1526"/>
      <c r="Z1026" s="1526"/>
      <c r="AA1026" s="1526"/>
      <c r="AB1026" s="1526"/>
      <c r="AC1026" s="1526"/>
      <c r="AD1026" s="1526"/>
      <c r="AE1026" s="1527"/>
      <c r="AF1026" s="1545" t="str">
        <f>IF(AG1025="yes","Enter Amount:","")</f>
        <v/>
      </c>
      <c r="AG1026" s="1546"/>
      <c r="AH1026" s="1546"/>
      <c r="AI1026" s="1547"/>
      <c r="AJ1026" s="1400"/>
      <c r="AK1026" s="1401"/>
      <c r="AL1026" s="1401"/>
      <c r="AM1026" s="1401"/>
      <c r="AN1026" s="1401"/>
      <c r="AO1026" s="1401"/>
      <c r="AP1026" s="1401"/>
      <c r="AQ1026" s="1402"/>
      <c r="AR1026" s="68"/>
      <c r="AS1026" s="68"/>
      <c r="AT1026" s="68"/>
      <c r="AU1026" s="68"/>
      <c r="AV1026" s="68"/>
      <c r="AW1026" s="68"/>
      <c r="AX1026" s="68"/>
      <c r="AY1026" s="68"/>
    </row>
    <row r="1027" spans="1:57" ht="12.95" customHeight="1">
      <c r="A1027" s="14"/>
      <c r="B1027" s="73"/>
      <c r="C1027" s="74"/>
      <c r="D1027" s="1525"/>
      <c r="E1027" s="1526"/>
      <c r="F1027" s="1526"/>
      <c r="G1027" s="1526"/>
      <c r="H1027" s="1526"/>
      <c r="I1027" s="1526"/>
      <c r="J1027" s="1526"/>
      <c r="K1027" s="1526"/>
      <c r="L1027" s="1526"/>
      <c r="M1027" s="1526"/>
      <c r="N1027" s="1526"/>
      <c r="O1027" s="1526"/>
      <c r="P1027" s="1526"/>
      <c r="Q1027" s="1526"/>
      <c r="R1027" s="1526"/>
      <c r="S1027" s="1526"/>
      <c r="T1027" s="1526"/>
      <c r="U1027" s="1526"/>
      <c r="V1027" s="1526"/>
      <c r="W1027" s="1526"/>
      <c r="X1027" s="1526"/>
      <c r="Y1027" s="1526"/>
      <c r="Z1027" s="1526"/>
      <c r="AA1027" s="1526"/>
      <c r="AB1027" s="1526"/>
      <c r="AC1027" s="1526"/>
      <c r="AD1027" s="1526"/>
      <c r="AE1027" s="1527"/>
      <c r="AF1027" s="1573"/>
      <c r="AG1027" s="1573"/>
      <c r="AH1027" s="1573"/>
      <c r="AI1027" s="1573"/>
      <c r="AJ1027" s="1400"/>
      <c r="AK1027" s="1401"/>
      <c r="AL1027" s="1401"/>
      <c r="AM1027" s="1401"/>
      <c r="AN1027" s="1401"/>
      <c r="AO1027" s="1401"/>
      <c r="AP1027" s="1401"/>
      <c r="AQ1027" s="1402"/>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28"/>
      <c r="E1028" s="1529"/>
      <c r="F1028" s="1529"/>
      <c r="G1028" s="1529"/>
      <c r="H1028" s="1529"/>
      <c r="I1028" s="1529"/>
      <c r="J1028" s="1529"/>
      <c r="K1028" s="1529"/>
      <c r="L1028" s="1529"/>
      <c r="M1028" s="1529"/>
      <c r="N1028" s="1529"/>
      <c r="O1028" s="1529"/>
      <c r="P1028" s="1529"/>
      <c r="Q1028" s="1529"/>
      <c r="R1028" s="1529"/>
      <c r="S1028" s="1529"/>
      <c r="T1028" s="1529"/>
      <c r="U1028" s="1529"/>
      <c r="V1028" s="1529"/>
      <c r="W1028" s="1529"/>
      <c r="X1028" s="1529"/>
      <c r="Y1028" s="1529"/>
      <c r="Z1028" s="1529"/>
      <c r="AA1028" s="1529"/>
      <c r="AB1028" s="1529"/>
      <c r="AC1028" s="1529"/>
      <c r="AD1028" s="1529"/>
      <c r="AE1028" s="1530"/>
      <c r="AF1028" s="1573"/>
      <c r="AG1028" s="1573"/>
      <c r="AH1028" s="1573"/>
      <c r="AI1028" s="1573"/>
      <c r="AJ1028" s="1403"/>
      <c r="AK1028" s="1404"/>
      <c r="AL1028" s="1404"/>
      <c r="AM1028" s="1404"/>
      <c r="AN1028" s="1404"/>
      <c r="AO1028" s="1404"/>
      <c r="AP1028" s="1404"/>
      <c r="AQ1028" s="1405"/>
      <c r="AR1028" s="68"/>
      <c r="AS1028" s="68"/>
      <c r="AT1028" s="68"/>
      <c r="AU1028" s="68"/>
      <c r="AV1028" s="68"/>
      <c r="AW1028" s="68"/>
      <c r="AX1028" s="68"/>
      <c r="AY1028" s="68"/>
    </row>
    <row r="1029" spans="1:57" ht="12.95" customHeight="1">
      <c r="A1029" s="14"/>
      <c r="B1029" s="79"/>
      <c r="C1029" s="80" t="s">
        <v>234</v>
      </c>
      <c r="D1029" s="1522" t="s">
        <v>1296</v>
      </c>
      <c r="E1029" s="1523"/>
      <c r="F1029" s="1523"/>
      <c r="G1029" s="1523"/>
      <c r="H1029" s="1523"/>
      <c r="I1029" s="1523"/>
      <c r="J1029" s="1523"/>
      <c r="K1029" s="1523"/>
      <c r="L1029" s="1523"/>
      <c r="M1029" s="1523"/>
      <c r="N1029" s="1523"/>
      <c r="O1029" s="1523"/>
      <c r="P1029" s="1523"/>
      <c r="Q1029" s="1523"/>
      <c r="R1029" s="1523"/>
      <c r="S1029" s="1523"/>
      <c r="T1029" s="1523"/>
      <c r="U1029" s="1523"/>
      <c r="V1029" s="1523"/>
      <c r="W1029" s="1523"/>
      <c r="X1029" s="1523"/>
      <c r="Y1029" s="1523"/>
      <c r="Z1029" s="1523"/>
      <c r="AA1029" s="1523"/>
      <c r="AB1029" s="1523"/>
      <c r="AC1029" s="1523"/>
      <c r="AD1029" s="1523"/>
      <c r="AE1029" s="1524"/>
      <c r="AF1029" s="79"/>
      <c r="AG1029" s="1520" t="s">
        <v>546</v>
      </c>
      <c r="AH1029" s="1521"/>
      <c r="AI1029" s="87"/>
      <c r="AJ1029" s="1397">
        <f>ROUND(IF(AG1029="yes",(AJ992*0.1),0),0)</f>
        <v>6777220</v>
      </c>
      <c r="AK1029" s="1398"/>
      <c r="AL1029" s="1398"/>
      <c r="AM1029" s="1398"/>
      <c r="AN1029" s="1398"/>
      <c r="AO1029" s="1398"/>
      <c r="AP1029" s="1398"/>
      <c r="AQ1029" s="1399"/>
      <c r="AR1029" s="68"/>
      <c r="AS1029" s="68"/>
      <c r="AT1029" s="68"/>
      <c r="AU1029" s="68"/>
      <c r="AV1029" s="68"/>
      <c r="AW1029" s="68"/>
      <c r="AX1029" s="68"/>
      <c r="AY1029" s="68"/>
    </row>
    <row r="1030" spans="1:57" ht="12.95" customHeight="1">
      <c r="A1030" s="14"/>
      <c r="B1030" s="73"/>
      <c r="C1030" s="74"/>
      <c r="D1030" s="1525" t="s">
        <v>1297</v>
      </c>
      <c r="E1030" s="1526"/>
      <c r="F1030" s="1526"/>
      <c r="G1030" s="1526"/>
      <c r="H1030" s="1526"/>
      <c r="I1030" s="1526"/>
      <c r="J1030" s="1526"/>
      <c r="K1030" s="1526"/>
      <c r="L1030" s="1526"/>
      <c r="M1030" s="1526"/>
      <c r="N1030" s="1526"/>
      <c r="O1030" s="1526"/>
      <c r="P1030" s="1526"/>
      <c r="Q1030" s="1526"/>
      <c r="R1030" s="1526"/>
      <c r="S1030" s="1526"/>
      <c r="T1030" s="1526"/>
      <c r="U1030" s="1526"/>
      <c r="V1030" s="1526"/>
      <c r="W1030" s="1526"/>
      <c r="X1030" s="1526"/>
      <c r="Y1030" s="1526"/>
      <c r="Z1030" s="1526"/>
      <c r="AA1030" s="1526"/>
      <c r="AB1030" s="1526"/>
      <c r="AC1030" s="1526"/>
      <c r="AD1030" s="1526"/>
      <c r="AE1030" s="1527"/>
      <c r="AF1030" s="73"/>
      <c r="AG1030" s="14"/>
      <c r="AH1030" s="14"/>
      <c r="AI1030" s="83"/>
      <c r="AJ1030" s="1400"/>
      <c r="AK1030" s="1401"/>
      <c r="AL1030" s="1401"/>
      <c r="AM1030" s="1401"/>
      <c r="AN1030" s="1401"/>
      <c r="AO1030" s="1401"/>
      <c r="AP1030" s="1401"/>
      <c r="AQ1030" s="1402"/>
      <c r="AR1030" s="68"/>
      <c r="AS1030" s="68"/>
      <c r="AT1030" s="68"/>
      <c r="AU1030" s="68"/>
      <c r="AV1030" s="68"/>
      <c r="AW1030" s="68"/>
      <c r="AX1030" s="68"/>
      <c r="AY1030" s="68"/>
    </row>
    <row r="1031" spans="1:57" ht="12.95" customHeight="1">
      <c r="A1031" s="14"/>
      <c r="B1031" s="77"/>
      <c r="C1031" s="74"/>
      <c r="D1031" s="1528"/>
      <c r="E1031" s="1529"/>
      <c r="F1031" s="1529"/>
      <c r="G1031" s="1529"/>
      <c r="H1031" s="1529"/>
      <c r="I1031" s="1529"/>
      <c r="J1031" s="1529"/>
      <c r="K1031" s="1529"/>
      <c r="L1031" s="1529"/>
      <c r="M1031" s="1529"/>
      <c r="N1031" s="1529"/>
      <c r="O1031" s="1529"/>
      <c r="P1031" s="1529"/>
      <c r="Q1031" s="1529"/>
      <c r="R1031" s="1529"/>
      <c r="S1031" s="1529"/>
      <c r="T1031" s="1529"/>
      <c r="U1031" s="1529"/>
      <c r="V1031" s="1529"/>
      <c r="W1031" s="1529"/>
      <c r="X1031" s="1529"/>
      <c r="Y1031" s="1529"/>
      <c r="Z1031" s="1529"/>
      <c r="AA1031" s="1529"/>
      <c r="AB1031" s="1529"/>
      <c r="AC1031" s="1529"/>
      <c r="AD1031" s="1529"/>
      <c r="AE1031" s="1530"/>
      <c r="AF1031" s="73"/>
      <c r="AG1031" s="14"/>
      <c r="AH1031" s="14"/>
      <c r="AI1031" s="83"/>
      <c r="AJ1031" s="1403"/>
      <c r="AK1031" s="1404"/>
      <c r="AL1031" s="1404"/>
      <c r="AM1031" s="1404"/>
      <c r="AN1031" s="1404"/>
      <c r="AO1031" s="1404"/>
      <c r="AP1031" s="1404"/>
      <c r="AQ1031" s="1405"/>
      <c r="AR1031" s="68"/>
      <c r="AS1031" s="68"/>
      <c r="AT1031" s="68"/>
      <c r="AU1031" s="68"/>
      <c r="AV1031" s="68"/>
      <c r="AW1031" s="68"/>
      <c r="AX1031" s="68"/>
      <c r="AY1031" s="68"/>
    </row>
    <row r="1032" spans="1:57" ht="12.95" customHeight="1">
      <c r="A1032" s="14"/>
      <c r="B1032" s="73"/>
      <c r="C1032" s="338" t="s">
        <v>688</v>
      </c>
      <c r="D1032" s="1512" t="s">
        <v>1687</v>
      </c>
      <c r="E1032" s="1513"/>
      <c r="F1032" s="1513"/>
      <c r="G1032" s="1513"/>
      <c r="H1032" s="1513"/>
      <c r="I1032" s="1513"/>
      <c r="J1032" s="1513"/>
      <c r="K1032" s="1513"/>
      <c r="L1032" s="1513"/>
      <c r="M1032" s="1513"/>
      <c r="N1032" s="1513"/>
      <c r="O1032" s="1513"/>
      <c r="P1032" s="1513"/>
      <c r="Q1032" s="1513"/>
      <c r="R1032" s="1513"/>
      <c r="S1032" s="1513"/>
      <c r="T1032" s="1513"/>
      <c r="U1032" s="1513"/>
      <c r="V1032" s="1513"/>
      <c r="W1032" s="1513"/>
      <c r="X1032" s="1513"/>
      <c r="Y1032" s="1513"/>
      <c r="Z1032" s="1513"/>
      <c r="AA1032" s="1513"/>
      <c r="AB1032" s="1513"/>
      <c r="AC1032" s="1513"/>
      <c r="AD1032" s="1513"/>
      <c r="AE1032" s="1514"/>
      <c r="AF1032" s="79"/>
      <c r="AG1032" s="1520" t="s">
        <v>670</v>
      </c>
      <c r="AH1032" s="1521"/>
      <c r="AI1032" s="87"/>
      <c r="AJ1032" s="1397">
        <f>ROUND(IF(AG1032="yes",(AJ992*0.15),0),0)</f>
        <v>0</v>
      </c>
      <c r="AK1032" s="1398"/>
      <c r="AL1032" s="1398"/>
      <c r="AM1032" s="1398"/>
      <c r="AN1032" s="1398"/>
      <c r="AO1032" s="1398"/>
      <c r="AP1032" s="1398"/>
      <c r="AQ1032" s="1399"/>
      <c r="AR1032" s="68"/>
      <c r="AS1032" s="68"/>
      <c r="AT1032" s="68"/>
      <c r="AU1032" s="68"/>
      <c r="AV1032" s="68"/>
      <c r="AW1032" s="68"/>
      <c r="AX1032" s="68"/>
      <c r="AY1032" s="68"/>
    </row>
    <row r="1033" spans="1:57" ht="12.95" customHeight="1">
      <c r="A1033" s="14"/>
      <c r="B1033" s="73"/>
      <c r="C1033" s="74"/>
      <c r="D1033" s="1534" t="s">
        <v>1688</v>
      </c>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35"/>
      <c r="AF1033" s="914"/>
      <c r="AG1033" s="915"/>
      <c r="AH1033" s="915"/>
      <c r="AI1033" s="916"/>
      <c r="AJ1033" s="1400"/>
      <c r="AK1033" s="1401"/>
      <c r="AL1033" s="1401"/>
      <c r="AM1033" s="1401"/>
      <c r="AN1033" s="1401"/>
      <c r="AO1033" s="1401"/>
      <c r="AP1033" s="1401"/>
      <c r="AQ1033" s="1402"/>
      <c r="AR1033" s="68"/>
      <c r="AS1033" s="68"/>
      <c r="AT1033" s="68"/>
      <c r="AU1033" s="68"/>
      <c r="AV1033" s="68"/>
      <c r="AW1033" s="68"/>
      <c r="AX1033" s="68"/>
      <c r="AY1033" s="68"/>
    </row>
    <row r="1034" spans="1:57" ht="12.95" customHeight="1">
      <c r="A1034" s="14"/>
      <c r="B1034" s="73"/>
      <c r="C1034" s="74"/>
      <c r="D1034" s="1534"/>
      <c r="E1034" s="1271"/>
      <c r="F1034" s="1271"/>
      <c r="G1034" s="1271"/>
      <c r="H1034" s="1271"/>
      <c r="I1034" s="1271"/>
      <c r="J1034" s="1271"/>
      <c r="K1034" s="1271"/>
      <c r="L1034" s="1271"/>
      <c r="M1034" s="1271"/>
      <c r="N1034" s="1271"/>
      <c r="O1034" s="1271"/>
      <c r="P1034" s="1271"/>
      <c r="Q1034" s="1271"/>
      <c r="R1034" s="1271"/>
      <c r="S1034" s="1271"/>
      <c r="T1034" s="1271"/>
      <c r="U1034" s="1271"/>
      <c r="V1034" s="1271"/>
      <c r="W1034" s="1271"/>
      <c r="X1034" s="1271"/>
      <c r="Y1034" s="1271"/>
      <c r="Z1034" s="1271"/>
      <c r="AA1034" s="1271"/>
      <c r="AB1034" s="1271"/>
      <c r="AC1034" s="1271"/>
      <c r="AD1034" s="1271"/>
      <c r="AE1034" s="1535"/>
      <c r="AF1034" s="914"/>
      <c r="AG1034" s="915"/>
      <c r="AH1034" s="915"/>
      <c r="AI1034" s="916"/>
      <c r="AJ1034" s="1400"/>
      <c r="AK1034" s="1401"/>
      <c r="AL1034" s="1401"/>
      <c r="AM1034" s="1401"/>
      <c r="AN1034" s="1401"/>
      <c r="AO1034" s="1401"/>
      <c r="AP1034" s="1401"/>
      <c r="AQ1034" s="1402"/>
      <c r="AR1034" s="68"/>
      <c r="AS1034" s="68"/>
      <c r="AT1034" s="68"/>
      <c r="AU1034" s="68"/>
      <c r="AV1034" s="68"/>
      <c r="AW1034" s="68"/>
      <c r="AX1034" s="68"/>
      <c r="AY1034" s="68"/>
    </row>
    <row r="1035" spans="1:57" ht="12.95" customHeight="1">
      <c r="A1035" s="14"/>
      <c r="B1035" s="73"/>
      <c r="C1035" s="74"/>
      <c r="D1035" s="1536"/>
      <c r="E1035" s="1537"/>
      <c r="F1035" s="1537"/>
      <c r="G1035" s="1537"/>
      <c r="H1035" s="1537"/>
      <c r="I1035" s="1537"/>
      <c r="J1035" s="1537"/>
      <c r="K1035" s="1537"/>
      <c r="L1035" s="1537"/>
      <c r="M1035" s="1537"/>
      <c r="N1035" s="1537"/>
      <c r="O1035" s="1537"/>
      <c r="P1035" s="1537"/>
      <c r="Q1035" s="1537"/>
      <c r="R1035" s="1537"/>
      <c r="S1035" s="1537"/>
      <c r="T1035" s="1537"/>
      <c r="U1035" s="1537"/>
      <c r="V1035" s="1537"/>
      <c r="W1035" s="1537"/>
      <c r="X1035" s="1537"/>
      <c r="Y1035" s="1537"/>
      <c r="Z1035" s="1537"/>
      <c r="AA1035" s="1537"/>
      <c r="AB1035" s="1537"/>
      <c r="AC1035" s="1537"/>
      <c r="AD1035" s="1537"/>
      <c r="AE1035" s="1538"/>
      <c r="AF1035" s="917"/>
      <c r="AG1035" s="918"/>
      <c r="AH1035" s="918"/>
      <c r="AI1035" s="919"/>
      <c r="AJ1035" s="1403"/>
      <c r="AK1035" s="1404"/>
      <c r="AL1035" s="1404"/>
      <c r="AM1035" s="1404"/>
      <c r="AN1035" s="1404"/>
      <c r="AO1035" s="1404"/>
      <c r="AP1035" s="1404"/>
      <c r="AQ1035" s="1405"/>
      <c r="AR1035" s="68"/>
      <c r="AS1035" s="68"/>
      <c r="AT1035" s="68"/>
      <c r="AU1035" s="68"/>
      <c r="AV1035" s="68"/>
      <c r="AW1035" s="68"/>
      <c r="AX1035" s="68"/>
      <c r="AY1035" s="68"/>
    </row>
    <row r="1036" spans="1:57" ht="12.95" customHeight="1">
      <c r="A1036" s="14"/>
      <c r="B1036" s="73"/>
      <c r="C1036" s="338" t="s">
        <v>688</v>
      </c>
      <c r="D1036" s="1522" t="s">
        <v>1689</v>
      </c>
      <c r="E1036" s="1523"/>
      <c r="F1036" s="1523"/>
      <c r="G1036" s="1523"/>
      <c r="H1036" s="1523"/>
      <c r="I1036" s="1523"/>
      <c r="J1036" s="1523"/>
      <c r="K1036" s="1523"/>
      <c r="L1036" s="1523"/>
      <c r="M1036" s="1523"/>
      <c r="N1036" s="1523"/>
      <c r="O1036" s="1523"/>
      <c r="P1036" s="1523"/>
      <c r="Q1036" s="1523"/>
      <c r="R1036" s="1523"/>
      <c r="S1036" s="1523"/>
      <c r="T1036" s="1523"/>
      <c r="U1036" s="1523"/>
      <c r="V1036" s="1523"/>
      <c r="W1036" s="1523"/>
      <c r="X1036" s="1523"/>
      <c r="Y1036" s="1523"/>
      <c r="Z1036" s="1523"/>
      <c r="AA1036" s="1523"/>
      <c r="AB1036" s="1523"/>
      <c r="AC1036" s="1523"/>
      <c r="AD1036" s="1523"/>
      <c r="AE1036" s="1524"/>
      <c r="AF1036" s="73"/>
      <c r="AG1036" s="1599" t="s">
        <v>546</v>
      </c>
      <c r="AH1036" s="1600"/>
      <c r="AI1036" s="83"/>
      <c r="AJ1036" s="1397">
        <f>ROUND(IF(AND(AG1036="yes",AJ1032=0),(AJ992*0.1),0),0)</f>
        <v>6777220</v>
      </c>
      <c r="AK1036" s="1398"/>
      <c r="AL1036" s="1398"/>
      <c r="AM1036" s="1398"/>
      <c r="AN1036" s="1398"/>
      <c r="AO1036" s="1398"/>
      <c r="AP1036" s="1398"/>
      <c r="AQ1036" s="1399"/>
      <c r="AR1036" s="68"/>
      <c r="AS1036" s="68"/>
      <c r="AT1036" s="68"/>
      <c r="AU1036" s="68"/>
      <c r="AV1036" s="68"/>
      <c r="AW1036" s="68"/>
      <c r="AX1036" s="68"/>
      <c r="AY1036" s="68"/>
    </row>
    <row r="1037" spans="1:57" ht="12.95" customHeight="1">
      <c r="A1037" s="14"/>
      <c r="B1037" s="73"/>
      <c r="C1037" s="74"/>
      <c r="D1037" s="1534" t="s">
        <v>1690</v>
      </c>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35"/>
      <c r="AF1037" s="73"/>
      <c r="AG1037" s="14"/>
      <c r="AH1037" s="14"/>
      <c r="AI1037" s="83"/>
      <c r="AJ1037" s="1400"/>
      <c r="AK1037" s="1401"/>
      <c r="AL1037" s="1401"/>
      <c r="AM1037" s="1401"/>
      <c r="AN1037" s="1401"/>
      <c r="AO1037" s="1401"/>
      <c r="AP1037" s="1401"/>
      <c r="AQ1037" s="1402"/>
      <c r="AR1037" s="68"/>
      <c r="AS1037" s="68"/>
      <c r="AT1037" s="68"/>
      <c r="AU1037" s="68"/>
      <c r="AV1037" s="68"/>
      <c r="AW1037" s="68"/>
      <c r="AX1037" s="68"/>
      <c r="AY1037" s="68"/>
    </row>
    <row r="1038" spans="1:57" ht="12.95" customHeight="1">
      <c r="A1038" s="14"/>
      <c r="B1038" s="73"/>
      <c r="C1038" s="74"/>
      <c r="D1038" s="1534"/>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35"/>
      <c r="AF1038" s="73"/>
      <c r="AG1038" s="14"/>
      <c r="AH1038" s="14"/>
      <c r="AI1038" s="83"/>
      <c r="AJ1038" s="1400"/>
      <c r="AK1038" s="1401"/>
      <c r="AL1038" s="1401"/>
      <c r="AM1038" s="1401"/>
      <c r="AN1038" s="1401"/>
      <c r="AO1038" s="1401"/>
      <c r="AP1038" s="1401"/>
      <c r="AQ1038" s="1402"/>
      <c r="AR1038" s="68"/>
      <c r="AS1038" s="68"/>
      <c r="AT1038" s="68"/>
      <c r="AU1038" s="68"/>
      <c r="AV1038" s="68"/>
      <c r="AW1038" s="68"/>
      <c r="AX1038" s="68"/>
      <c r="AY1038" s="68"/>
      <c r="BA1038" s="1182">
        <f>IFERROR(('Sources and Uses Budget'!$C$17+'Sources and Uses Budget'!$C$18+'Sources and Uses Budget'!$C$22)/$AG$437,0)</f>
        <v>0</v>
      </c>
      <c r="BB1038" s="1182" t="s">
        <v>2491</v>
      </c>
      <c r="BC1038" s="1182"/>
      <c r="BD1038" s="1182"/>
      <c r="BE1038" s="1182"/>
    </row>
    <row r="1039" spans="1:57" ht="12.95" customHeight="1">
      <c r="A1039" s="14"/>
      <c r="B1039" s="73"/>
      <c r="C1039" s="74"/>
      <c r="D1039" s="1534"/>
      <c r="E1039" s="1271"/>
      <c r="F1039" s="1271"/>
      <c r="G1039" s="1271"/>
      <c r="H1039" s="1271"/>
      <c r="I1039" s="1271"/>
      <c r="J1039" s="1271"/>
      <c r="K1039" s="1271"/>
      <c r="L1039" s="1271"/>
      <c r="M1039" s="1271"/>
      <c r="N1039" s="1271"/>
      <c r="O1039" s="1271"/>
      <c r="P1039" s="1271"/>
      <c r="Q1039" s="1271"/>
      <c r="R1039" s="1271"/>
      <c r="S1039" s="1271"/>
      <c r="T1039" s="1271"/>
      <c r="U1039" s="1271"/>
      <c r="V1039" s="1271"/>
      <c r="W1039" s="1271"/>
      <c r="X1039" s="1271"/>
      <c r="Y1039" s="1271"/>
      <c r="Z1039" s="1271"/>
      <c r="AA1039" s="1271"/>
      <c r="AB1039" s="1271"/>
      <c r="AC1039" s="1271"/>
      <c r="AD1039" s="1271"/>
      <c r="AE1039" s="1535"/>
      <c r="AF1039" s="73"/>
      <c r="AG1039" s="14"/>
      <c r="AH1039" s="14"/>
      <c r="AI1039" s="83"/>
      <c r="AJ1039" s="1400"/>
      <c r="AK1039" s="1401"/>
      <c r="AL1039" s="1401"/>
      <c r="AM1039" s="1401"/>
      <c r="AN1039" s="1401"/>
      <c r="AO1039" s="1401"/>
      <c r="AP1039" s="1401"/>
      <c r="AQ1039" s="1402"/>
      <c r="AR1039" s="68"/>
      <c r="AS1039" s="68"/>
      <c r="AT1039" s="68"/>
      <c r="AU1039" s="68"/>
      <c r="AV1039" s="68"/>
      <c r="AW1039" s="68"/>
      <c r="AX1039" s="68"/>
      <c r="AY1039" s="68"/>
      <c r="BA1039">
        <f>IFERROR((($CI$753+$CM$753)/$AG$440),0)</f>
        <v>0.50335570469798663</v>
      </c>
      <c r="BB1039" s="3" t="s">
        <v>2495</v>
      </c>
    </row>
    <row r="1040" spans="1:57" ht="12.95" customHeight="1">
      <c r="A1040" s="14"/>
      <c r="B1040" s="73"/>
      <c r="C1040" s="74"/>
      <c r="D1040" s="1536"/>
      <c r="E1040" s="1537"/>
      <c r="F1040" s="1537"/>
      <c r="G1040" s="1537"/>
      <c r="H1040" s="1537"/>
      <c r="I1040" s="1537"/>
      <c r="J1040" s="1537"/>
      <c r="K1040" s="1537"/>
      <c r="L1040" s="1537"/>
      <c r="M1040" s="1537"/>
      <c r="N1040" s="1537"/>
      <c r="O1040" s="1537"/>
      <c r="P1040" s="1537"/>
      <c r="Q1040" s="1537"/>
      <c r="R1040" s="1537"/>
      <c r="S1040" s="1537"/>
      <c r="T1040" s="1537"/>
      <c r="U1040" s="1537"/>
      <c r="V1040" s="1537"/>
      <c r="W1040" s="1537"/>
      <c r="X1040" s="1537"/>
      <c r="Y1040" s="1537"/>
      <c r="Z1040" s="1537"/>
      <c r="AA1040" s="1537"/>
      <c r="AB1040" s="1537"/>
      <c r="AC1040" s="1537"/>
      <c r="AD1040" s="1537"/>
      <c r="AE1040" s="1538"/>
      <c r="AF1040" s="73"/>
      <c r="AG1040" s="14"/>
      <c r="AH1040" s="14"/>
      <c r="AI1040" s="83"/>
      <c r="AJ1040" s="1400"/>
      <c r="AK1040" s="1401"/>
      <c r="AL1040" s="1401"/>
      <c r="AM1040" s="1401"/>
      <c r="AN1040" s="1401"/>
      <c r="AO1040" s="1401"/>
      <c r="AP1040" s="1401"/>
      <c r="AQ1040" s="1402"/>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512" t="s">
        <v>1298</v>
      </c>
      <c r="E1041" s="1513"/>
      <c r="F1041" s="1513"/>
      <c r="G1041" s="1513"/>
      <c r="H1041" s="1513"/>
      <c r="I1041" s="1513"/>
      <c r="J1041" s="1513"/>
      <c r="K1041" s="1513"/>
      <c r="L1041" s="1513"/>
      <c r="M1041" s="1513"/>
      <c r="N1041" s="1513"/>
      <c r="O1041" s="1513"/>
      <c r="P1041" s="1513"/>
      <c r="Q1041" s="1513"/>
      <c r="R1041" s="1513"/>
      <c r="S1041" s="1513"/>
      <c r="T1041" s="1513"/>
      <c r="U1041" s="1513"/>
      <c r="V1041" s="1513"/>
      <c r="W1041" s="1513"/>
      <c r="X1041" s="1513"/>
      <c r="Y1041" s="1513"/>
      <c r="Z1041" s="1513"/>
      <c r="AA1041" s="1513"/>
      <c r="AB1041" s="1513"/>
      <c r="AC1041" s="1513"/>
      <c r="AD1041" s="1513"/>
      <c r="AE1041" s="1514"/>
      <c r="AF1041" s="79"/>
      <c r="AG1041" s="1520" t="s">
        <v>670</v>
      </c>
      <c r="AH1041" s="1521"/>
      <c r="AI1041" s="87"/>
      <c r="AJ1041" s="1397">
        <f>ROUND(IF(AG1041="yes",(AJ992*0.1),0),0)</f>
        <v>0</v>
      </c>
      <c r="AK1041" s="1398"/>
      <c r="AL1041" s="1398"/>
      <c r="AM1041" s="1398"/>
      <c r="AN1041" s="1398"/>
      <c r="AO1041" s="1398"/>
      <c r="AP1041" s="1398"/>
      <c r="AQ1041" s="1399"/>
      <c r="AR1041" s="68"/>
      <c r="AS1041" s="68"/>
      <c r="AT1041" s="68"/>
      <c r="AU1041" s="68"/>
      <c r="AV1041" s="68"/>
      <c r="AW1041" s="68"/>
      <c r="AX1041" s="68"/>
      <c r="AY1041" s="68"/>
      <c r="BA1041">
        <f>Q212</f>
        <v>75</v>
      </c>
      <c r="BB1041" s="3" t="s">
        <v>2493</v>
      </c>
    </row>
    <row r="1042" spans="1:56" ht="12.95" customHeight="1">
      <c r="A1042" s="14"/>
      <c r="B1042" s="73"/>
      <c r="C1042" s="74"/>
      <c r="D1042" s="1525" t="s">
        <v>2146</v>
      </c>
      <c r="E1042" s="1526"/>
      <c r="F1042" s="1526"/>
      <c r="G1042" s="1526"/>
      <c r="H1042" s="1526"/>
      <c r="I1042" s="1526"/>
      <c r="J1042" s="1526"/>
      <c r="K1042" s="1526"/>
      <c r="L1042" s="1526"/>
      <c r="M1042" s="1526"/>
      <c r="N1042" s="1526"/>
      <c r="O1042" s="1526"/>
      <c r="P1042" s="1526"/>
      <c r="Q1042" s="1526"/>
      <c r="R1042" s="1526"/>
      <c r="S1042" s="1526"/>
      <c r="T1042" s="1526"/>
      <c r="U1042" s="1526"/>
      <c r="V1042" s="1526"/>
      <c r="W1042" s="1526"/>
      <c r="X1042" s="1526"/>
      <c r="Y1042" s="1526"/>
      <c r="Z1042" s="1526"/>
      <c r="AA1042" s="1526"/>
      <c r="AB1042" s="1526"/>
      <c r="AC1042" s="1526"/>
      <c r="AD1042" s="1526"/>
      <c r="AE1042" s="1527"/>
      <c r="AF1042" s="73"/>
      <c r="AG1042" s="14"/>
      <c r="AH1042" s="14"/>
      <c r="AI1042" s="83"/>
      <c r="AJ1042" s="1400"/>
      <c r="AK1042" s="1401"/>
      <c r="AL1042" s="1401"/>
      <c r="AM1042" s="1401"/>
      <c r="AN1042" s="1401"/>
      <c r="AO1042" s="1401"/>
      <c r="AP1042" s="1401"/>
      <c r="AQ1042" s="1402"/>
      <c r="AR1042" s="68"/>
      <c r="AS1042" s="68"/>
      <c r="AT1042" s="68"/>
      <c r="AU1042" s="68"/>
      <c r="AV1042" s="68"/>
      <c r="AW1042" s="68"/>
      <c r="AX1042" s="68"/>
      <c r="AY1042" s="68"/>
      <c r="BA1042" s="1183">
        <f>T212</f>
        <v>0.50335570469798663</v>
      </c>
      <c r="BB1042" s="3" t="s">
        <v>2494</v>
      </c>
    </row>
    <row r="1043" spans="1:56" ht="12.95" customHeight="1">
      <c r="A1043" s="14"/>
      <c r="B1043" s="73"/>
      <c r="C1043" s="74"/>
      <c r="D1043" s="1525"/>
      <c r="E1043" s="1526"/>
      <c r="F1043" s="1526"/>
      <c r="G1043" s="1526"/>
      <c r="H1043" s="1526"/>
      <c r="I1043" s="1526"/>
      <c r="J1043" s="1526"/>
      <c r="K1043" s="1526"/>
      <c r="L1043" s="1526"/>
      <c r="M1043" s="1526"/>
      <c r="N1043" s="1526"/>
      <c r="O1043" s="1526"/>
      <c r="P1043" s="1526"/>
      <c r="Q1043" s="1526"/>
      <c r="R1043" s="1526"/>
      <c r="S1043" s="1526"/>
      <c r="T1043" s="1526"/>
      <c r="U1043" s="1526"/>
      <c r="V1043" s="1526"/>
      <c r="W1043" s="1526"/>
      <c r="X1043" s="1526"/>
      <c r="Y1043" s="1526"/>
      <c r="Z1043" s="1526"/>
      <c r="AA1043" s="1526"/>
      <c r="AB1043" s="1526"/>
      <c r="AC1043" s="1526"/>
      <c r="AD1043" s="1526"/>
      <c r="AE1043" s="1527"/>
      <c r="AF1043" s="73"/>
      <c r="AG1043" s="14"/>
      <c r="AH1043" s="14"/>
      <c r="AI1043" s="83"/>
      <c r="AJ1043" s="1400"/>
      <c r="AK1043" s="1401"/>
      <c r="AL1043" s="1401"/>
      <c r="AM1043" s="1401"/>
      <c r="AN1043" s="1401"/>
      <c r="AO1043" s="1401"/>
      <c r="AP1043" s="1401"/>
      <c r="AQ1043" s="1402"/>
      <c r="AR1043" s="68"/>
      <c r="AS1043" s="68"/>
      <c r="AT1043" s="68"/>
      <c r="AU1043" s="68"/>
      <c r="AV1043" s="68"/>
      <c r="AW1043" s="68"/>
      <c r="AX1043" s="68"/>
      <c r="AY1043" s="68"/>
    </row>
    <row r="1044" spans="1:56" ht="12.95" customHeight="1">
      <c r="A1044" s="14"/>
      <c r="B1044" s="73"/>
      <c r="C1044" s="74"/>
      <c r="D1044" s="1528"/>
      <c r="E1044" s="1529"/>
      <c r="F1044" s="1529"/>
      <c r="G1044" s="1529"/>
      <c r="H1044" s="1529"/>
      <c r="I1044" s="1529"/>
      <c r="J1044" s="1529"/>
      <c r="K1044" s="1529"/>
      <c r="L1044" s="1529"/>
      <c r="M1044" s="1529"/>
      <c r="N1044" s="1529"/>
      <c r="O1044" s="1529"/>
      <c r="P1044" s="1529"/>
      <c r="Q1044" s="1529"/>
      <c r="R1044" s="1529"/>
      <c r="S1044" s="1529"/>
      <c r="T1044" s="1529"/>
      <c r="U1044" s="1529"/>
      <c r="V1044" s="1529"/>
      <c r="W1044" s="1529"/>
      <c r="X1044" s="1529"/>
      <c r="Y1044" s="1529"/>
      <c r="Z1044" s="1529"/>
      <c r="AA1044" s="1529"/>
      <c r="AB1044" s="1529"/>
      <c r="AC1044" s="1529"/>
      <c r="AD1044" s="1529"/>
      <c r="AE1044" s="1530"/>
      <c r="AF1044" s="73"/>
      <c r="AG1044" s="14"/>
      <c r="AH1044" s="14"/>
      <c r="AI1044" s="83"/>
      <c r="AJ1044" s="1403"/>
      <c r="AK1044" s="1404"/>
      <c r="AL1044" s="1404"/>
      <c r="AM1044" s="1404"/>
      <c r="AN1044" s="1404"/>
      <c r="AO1044" s="1404"/>
      <c r="AP1044" s="1404"/>
      <c r="AQ1044" s="1405"/>
      <c r="AR1044" s="68"/>
      <c r="AS1044" s="68"/>
      <c r="AT1044" s="68"/>
      <c r="AU1044" s="68"/>
      <c r="AV1044" s="68"/>
      <c r="AW1044" s="68"/>
      <c r="AX1044" s="68"/>
      <c r="AY1044" s="68"/>
    </row>
    <row r="1045" spans="1:56" ht="12.95" customHeight="1">
      <c r="A1045" s="14"/>
      <c r="B1045" s="79"/>
      <c r="C1045" s="131" t="s">
        <v>1685</v>
      </c>
      <c r="D1045" s="1522" t="s">
        <v>1866</v>
      </c>
      <c r="E1045" s="1523"/>
      <c r="F1045" s="1523"/>
      <c r="G1045" s="1523"/>
      <c r="H1045" s="1523"/>
      <c r="I1045" s="1523"/>
      <c r="J1045" s="1523"/>
      <c r="K1045" s="1523"/>
      <c r="L1045" s="1523"/>
      <c r="M1045" s="1523"/>
      <c r="N1045" s="1523"/>
      <c r="O1045" s="1523"/>
      <c r="P1045" s="1523"/>
      <c r="Q1045" s="1523"/>
      <c r="R1045" s="1523"/>
      <c r="S1045" s="1523"/>
      <c r="T1045" s="1523"/>
      <c r="U1045" s="1523"/>
      <c r="V1045" s="1523"/>
      <c r="W1045" s="1523"/>
      <c r="X1045" s="1523"/>
      <c r="Y1045" s="1523"/>
      <c r="Z1045" s="1523"/>
      <c r="AA1045" s="1523"/>
      <c r="AB1045" s="1523"/>
      <c r="AC1045" s="1523"/>
      <c r="AD1045" s="1523"/>
      <c r="AE1045" s="1524"/>
      <c r="AF1045" s="79"/>
      <c r="AG1045" s="1589" t="str">
        <f>IF(X1048&gt;0,"Yes","No")</f>
        <v>No</v>
      </c>
      <c r="AH1045" s="1590"/>
      <c r="AI1045" s="87"/>
      <c r="AJ1045" s="1397">
        <f>IF((X1048=0),0,AY1005*AJ992)</f>
        <v>0</v>
      </c>
      <c r="AK1045" s="1398"/>
      <c r="AL1045" s="1398"/>
      <c r="AM1045" s="1398"/>
      <c r="AN1045" s="1398"/>
      <c r="AO1045" s="1398"/>
      <c r="AP1045" s="1398"/>
      <c r="AQ1045" s="1399"/>
      <c r="AR1045" s="68"/>
      <c r="AS1045" s="68"/>
      <c r="AT1045" s="68"/>
      <c r="AU1045" s="68"/>
      <c r="AV1045" s="68"/>
      <c r="AW1045" s="68"/>
      <c r="AX1045" s="68"/>
      <c r="AY1045" s="68"/>
      <c r="AZ1045" s="118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1235814</v>
      </c>
      <c r="BA1045" s="3" t="s">
        <v>2480</v>
      </c>
      <c r="BB1045" s="3"/>
      <c r="BC1045" s="3"/>
      <c r="BD1045" s="3"/>
    </row>
    <row r="1046" spans="1:56" ht="12.95" customHeight="1">
      <c r="A1046" s="14"/>
      <c r="B1046" s="73"/>
      <c r="C1046" s="441"/>
      <c r="D1046" s="1525" t="s">
        <v>1300</v>
      </c>
      <c r="E1046" s="1526"/>
      <c r="F1046" s="1526"/>
      <c r="G1046" s="1526"/>
      <c r="H1046" s="1526"/>
      <c r="I1046" s="1526"/>
      <c r="J1046" s="1526"/>
      <c r="K1046" s="1526"/>
      <c r="L1046" s="1526"/>
      <c r="M1046" s="1526"/>
      <c r="N1046" s="1526"/>
      <c r="O1046" s="1526"/>
      <c r="P1046" s="1526"/>
      <c r="Q1046" s="1526"/>
      <c r="R1046" s="1526"/>
      <c r="S1046" s="1526"/>
      <c r="T1046" s="1526"/>
      <c r="U1046" s="1526"/>
      <c r="V1046" s="1526"/>
      <c r="W1046" s="1526"/>
      <c r="X1046" s="1526"/>
      <c r="Y1046" s="1526"/>
      <c r="Z1046" s="1526"/>
      <c r="AA1046" s="1526"/>
      <c r="AB1046" s="1526"/>
      <c r="AC1046" s="1526"/>
      <c r="AD1046" s="1526"/>
      <c r="AE1046" s="1527"/>
      <c r="AF1046" s="73"/>
      <c r="AG1046" s="442"/>
      <c r="AH1046" s="442"/>
      <c r="AI1046" s="83"/>
      <c r="AJ1046" s="1400"/>
      <c r="AK1046" s="1401"/>
      <c r="AL1046" s="1401"/>
      <c r="AM1046" s="1401"/>
      <c r="AN1046" s="1401"/>
      <c r="AO1046" s="1401"/>
      <c r="AP1046" s="1401"/>
      <c r="AQ1046" s="1402"/>
      <c r="AR1046" s="68"/>
      <c r="AS1046" s="68"/>
      <c r="AT1046" s="68"/>
      <c r="AU1046" s="13"/>
      <c r="AV1046" s="68"/>
      <c r="AW1046" s="68"/>
      <c r="AX1046" s="68"/>
      <c r="AY1046" s="68"/>
      <c r="AZ1046" s="961">
        <f>'Sources and Uses Budget'!S97*BA1046</f>
        <v>10807606.049999999</v>
      </c>
      <c r="BA1046" s="1181">
        <f>IF(BA1040,20%,15%)</f>
        <v>0.15</v>
      </c>
      <c r="BB1046" s="3" t="s">
        <v>2481</v>
      </c>
      <c r="BC1046" s="3" t="s">
        <v>2482</v>
      </c>
      <c r="BD1046" s="3"/>
    </row>
    <row r="1047" spans="1:56" ht="12.95" customHeight="1">
      <c r="A1047" s="14"/>
      <c r="B1047" s="73"/>
      <c r="C1047" s="441"/>
      <c r="D1047" s="1525"/>
      <c r="E1047" s="1526"/>
      <c r="F1047" s="1526"/>
      <c r="G1047" s="1526"/>
      <c r="H1047" s="1526"/>
      <c r="I1047" s="1526"/>
      <c r="J1047" s="1526"/>
      <c r="K1047" s="1526"/>
      <c r="L1047" s="1526"/>
      <c r="M1047" s="1526"/>
      <c r="N1047" s="1526"/>
      <c r="O1047" s="1526"/>
      <c r="P1047" s="1526"/>
      <c r="Q1047" s="1526"/>
      <c r="R1047" s="1526"/>
      <c r="S1047" s="1526"/>
      <c r="T1047" s="1526"/>
      <c r="U1047" s="1526"/>
      <c r="V1047" s="1526"/>
      <c r="W1047" s="1526"/>
      <c r="X1047" s="1526"/>
      <c r="Y1047" s="1526"/>
      <c r="Z1047" s="1526"/>
      <c r="AA1047" s="1526"/>
      <c r="AB1047" s="1526"/>
      <c r="AC1047" s="1526"/>
      <c r="AD1047" s="1526"/>
      <c r="AE1047" s="1527"/>
      <c r="AF1047" s="73"/>
      <c r="AG1047" s="442"/>
      <c r="AH1047" s="442"/>
      <c r="AI1047" s="83"/>
      <c r="AJ1047" s="1400"/>
      <c r="AK1047" s="1401"/>
      <c r="AL1047" s="1401"/>
      <c r="AM1047" s="1401"/>
      <c r="AN1047" s="1401"/>
      <c r="AO1047" s="1401"/>
      <c r="AP1047" s="1401"/>
      <c r="AQ1047" s="1402"/>
      <c r="AR1047" s="68"/>
      <c r="AS1047" s="68"/>
      <c r="AT1047" s="68"/>
      <c r="AU1047" s="13"/>
      <c r="AV1047" s="68"/>
      <c r="AW1047" s="68"/>
      <c r="AX1047" s="68"/>
      <c r="AY1047" s="68"/>
      <c r="AZ1047" s="961">
        <f>IF(M356="N/A",0,'Sources and Uses Budget'!T97*BA1047)</f>
        <v>0</v>
      </c>
      <c r="BA1047" s="1181">
        <v>0.15</v>
      </c>
      <c r="BB1047" s="3" t="s">
        <v>2481</v>
      </c>
      <c r="BC1047" s="3" t="s">
        <v>2483</v>
      </c>
      <c r="BD1047" s="3"/>
    </row>
    <row r="1048" spans="1:56" ht="12.95" customHeight="1">
      <c r="A1048" s="14"/>
      <c r="B1048" s="77"/>
      <c r="C1048" s="78"/>
      <c r="D1048" s="132" t="s">
        <v>973</v>
      </c>
      <c r="E1048" s="133"/>
      <c r="F1048" s="133"/>
      <c r="G1048" s="133"/>
      <c r="H1048" s="133"/>
      <c r="I1048" s="1587">
        <f>AY1003</f>
        <v>149</v>
      </c>
      <c r="J1048" s="1588"/>
      <c r="K1048" s="7"/>
      <c r="L1048" s="133"/>
      <c r="M1048" s="133"/>
      <c r="N1048" s="133"/>
      <c r="O1048" s="133"/>
      <c r="P1048" s="133"/>
      <c r="Q1048" s="133"/>
      <c r="R1048" s="133"/>
      <c r="S1048" s="133"/>
      <c r="T1048" s="133"/>
      <c r="U1048" s="133"/>
      <c r="V1048" s="134" t="s">
        <v>974</v>
      </c>
      <c r="W1048" s="48"/>
      <c r="X1048" s="1585">
        <f>CI753</f>
        <v>0</v>
      </c>
      <c r="Y1048" s="1586"/>
      <c r="Z1048" s="48"/>
      <c r="AA1048" s="48"/>
      <c r="AB1048" s="48"/>
      <c r="AC1048" s="48"/>
      <c r="AD1048" s="48"/>
      <c r="AE1048" s="49"/>
      <c r="AF1048" s="923"/>
      <c r="AG1048" s="924"/>
      <c r="AH1048" s="924"/>
      <c r="AI1048" s="925"/>
      <c r="AJ1048" s="1403"/>
      <c r="AK1048" s="1404"/>
      <c r="AL1048" s="1404"/>
      <c r="AM1048" s="1404"/>
      <c r="AN1048" s="1404"/>
      <c r="AO1048" s="1404"/>
      <c r="AP1048" s="1404"/>
      <c r="AQ1048" s="1405"/>
      <c r="AR1048" s="68"/>
      <c r="AS1048" s="68"/>
      <c r="AT1048" s="68"/>
      <c r="AU1048" s="14"/>
      <c r="AV1048" s="68"/>
      <c r="AW1048" s="68"/>
      <c r="AX1048" s="68"/>
      <c r="AY1048" s="68"/>
      <c r="AZ1048" s="961">
        <f>IF(M358="N/A",0,'Sources and Uses Budget'!T97*BA1048)</f>
        <v>0</v>
      </c>
      <c r="BA1048" s="1181" cm="1">
        <f t="array" ref="BA1048">_xlfn.IFS(X180="Yes",5%,$BA$1038&gt;50000,15%,BA1039&gt;=30%,15%,TRUE,5%)</f>
        <v>0.15</v>
      </c>
      <c r="BB1048" s="3" t="s">
        <v>2481</v>
      </c>
      <c r="BC1048" s="3" t="s">
        <v>2484</v>
      </c>
      <c r="BD1048" s="3"/>
    </row>
    <row r="1049" spans="1:56" ht="12.95" customHeight="1">
      <c r="A1049" s="14"/>
      <c r="B1049" s="79"/>
      <c r="C1049" s="131" t="s">
        <v>1686</v>
      </c>
      <c r="D1049" s="1512" t="s">
        <v>2172</v>
      </c>
      <c r="E1049" s="1513"/>
      <c r="F1049" s="1513"/>
      <c r="G1049" s="1513"/>
      <c r="H1049" s="1513"/>
      <c r="I1049" s="1513"/>
      <c r="J1049" s="1513"/>
      <c r="K1049" s="1513"/>
      <c r="L1049" s="1513"/>
      <c r="M1049" s="1513"/>
      <c r="N1049" s="1513"/>
      <c r="O1049" s="1513"/>
      <c r="P1049" s="1513"/>
      <c r="Q1049" s="1513"/>
      <c r="R1049" s="1513"/>
      <c r="S1049" s="1513"/>
      <c r="T1049" s="1513"/>
      <c r="U1049" s="1513"/>
      <c r="V1049" s="1513"/>
      <c r="W1049" s="1513"/>
      <c r="X1049" s="1513"/>
      <c r="Y1049" s="1513"/>
      <c r="Z1049" s="1513"/>
      <c r="AA1049" s="1513"/>
      <c r="AB1049" s="1513"/>
      <c r="AC1049" s="1513"/>
      <c r="AD1049" s="1513"/>
      <c r="AE1049" s="1514"/>
      <c r="AF1049" s="73"/>
      <c r="AG1049" s="1589" t="str">
        <f>IF(X1052&gt;0,"Yes","No")</f>
        <v>Yes</v>
      </c>
      <c r="AH1049" s="1590"/>
      <c r="AI1049" s="83"/>
      <c r="AJ1049" s="1397">
        <f>IF((X1052=0),0,(2*AY1006)*AJ992)</f>
        <v>67772195</v>
      </c>
      <c r="AK1049" s="1398"/>
      <c r="AL1049" s="1398"/>
      <c r="AM1049" s="1398"/>
      <c r="AN1049" s="1398"/>
      <c r="AO1049" s="1398"/>
      <c r="AP1049" s="1398"/>
      <c r="AQ1049" s="1399"/>
      <c r="AR1049" s="68"/>
      <c r="AS1049" s="68"/>
      <c r="AT1049" s="68"/>
      <c r="AU1049" s="14"/>
      <c r="AV1049" s="68"/>
      <c r="AW1049" s="68"/>
      <c r="AX1049" s="68"/>
      <c r="AY1049" s="68"/>
      <c r="AZ1049" s="961">
        <f>AZ1045*BA1049</f>
        <v>185372.1</v>
      </c>
      <c r="BA1049" s="1181">
        <v>0.15</v>
      </c>
      <c r="BB1049" s="3" t="s">
        <v>2481</v>
      </c>
      <c r="BC1049" s="3" t="s">
        <v>2485</v>
      </c>
      <c r="BD1049" s="3"/>
    </row>
    <row r="1050" spans="1:56" ht="12.95" customHeight="1">
      <c r="A1050" s="14"/>
      <c r="B1050" s="73"/>
      <c r="C1050" s="441"/>
      <c r="D1050" s="1525" t="s">
        <v>1299</v>
      </c>
      <c r="E1050" s="1526"/>
      <c r="F1050" s="1526"/>
      <c r="G1050" s="1526"/>
      <c r="H1050" s="1526"/>
      <c r="I1050" s="1526"/>
      <c r="J1050" s="1526"/>
      <c r="K1050" s="1526"/>
      <c r="L1050" s="1526"/>
      <c r="M1050" s="1526"/>
      <c r="N1050" s="1526"/>
      <c r="O1050" s="1526"/>
      <c r="P1050" s="1526"/>
      <c r="Q1050" s="1526"/>
      <c r="R1050" s="1526"/>
      <c r="S1050" s="1526"/>
      <c r="T1050" s="1526"/>
      <c r="U1050" s="1526"/>
      <c r="V1050" s="1526"/>
      <c r="W1050" s="1526"/>
      <c r="X1050" s="1526"/>
      <c r="Y1050" s="1526"/>
      <c r="Z1050" s="1526"/>
      <c r="AA1050" s="1526"/>
      <c r="AB1050" s="1526"/>
      <c r="AC1050" s="1526"/>
      <c r="AD1050" s="1526"/>
      <c r="AE1050" s="1527"/>
      <c r="AF1050" s="73"/>
      <c r="AG1050" s="442"/>
      <c r="AH1050" s="442"/>
      <c r="AI1050" s="83"/>
      <c r="AJ1050" s="1400"/>
      <c r="AK1050" s="1401"/>
      <c r="AL1050" s="1401"/>
      <c r="AM1050" s="1401"/>
      <c r="AN1050" s="1401"/>
      <c r="AO1050" s="1401"/>
      <c r="AP1050" s="1401"/>
      <c r="AQ1050" s="1402"/>
      <c r="AR1050" s="68"/>
      <c r="AS1050" s="68"/>
      <c r="AT1050" s="68"/>
      <c r="AU1050" s="68"/>
      <c r="AV1050" s="68"/>
      <c r="AW1050" s="68"/>
      <c r="AX1050" s="68"/>
      <c r="AY1050" s="68"/>
      <c r="AZ1050" s="961"/>
      <c r="BA1050" s="3"/>
      <c r="BB1050" s="3"/>
      <c r="BC1050" s="3"/>
      <c r="BD1050" s="3"/>
    </row>
    <row r="1051" spans="1:56" ht="12.95" customHeight="1">
      <c r="A1051" s="14"/>
      <c r="B1051" s="73"/>
      <c r="C1051" s="83"/>
      <c r="D1051" s="1525"/>
      <c r="E1051" s="1526"/>
      <c r="F1051" s="1526"/>
      <c r="G1051" s="1526"/>
      <c r="H1051" s="1526"/>
      <c r="I1051" s="1526"/>
      <c r="J1051" s="1526"/>
      <c r="K1051" s="1526"/>
      <c r="L1051" s="1526"/>
      <c r="M1051" s="1526"/>
      <c r="N1051" s="1526"/>
      <c r="O1051" s="1526"/>
      <c r="P1051" s="1526"/>
      <c r="Q1051" s="1526"/>
      <c r="R1051" s="1526"/>
      <c r="S1051" s="1526"/>
      <c r="T1051" s="1526"/>
      <c r="U1051" s="1526"/>
      <c r="V1051" s="1526"/>
      <c r="W1051" s="1526"/>
      <c r="X1051" s="1526"/>
      <c r="Y1051" s="1526"/>
      <c r="Z1051" s="1526"/>
      <c r="AA1051" s="1526"/>
      <c r="AB1051" s="1526"/>
      <c r="AC1051" s="1526"/>
      <c r="AD1051" s="1526"/>
      <c r="AE1051" s="1527"/>
      <c r="AF1051" s="920"/>
      <c r="AG1051" s="921"/>
      <c r="AH1051" s="921"/>
      <c r="AI1051" s="922"/>
      <c r="AJ1051" s="1400"/>
      <c r="AK1051" s="1401"/>
      <c r="AL1051" s="1401"/>
      <c r="AM1051" s="1401"/>
      <c r="AN1051" s="1401"/>
      <c r="AO1051" s="1401"/>
      <c r="AP1051" s="1401"/>
      <c r="AQ1051" s="1402"/>
      <c r="AR1051" s="68"/>
      <c r="AS1051" s="68"/>
      <c r="AT1051" s="68"/>
      <c r="AU1051" s="68"/>
      <c r="AV1051" s="68"/>
      <c r="AW1051" s="68"/>
      <c r="AX1051" s="68"/>
      <c r="AY1051" s="68"/>
      <c r="AZ1051" s="961">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87">
        <f>AY1003</f>
        <v>149</v>
      </c>
      <c r="J1052" s="1588"/>
      <c r="K1052" s="14"/>
      <c r="L1052" s="133"/>
      <c r="M1052" s="133"/>
      <c r="N1052" s="133"/>
      <c r="O1052" s="133"/>
      <c r="P1052" s="133"/>
      <c r="Q1052" s="133"/>
      <c r="R1052" s="133"/>
      <c r="S1052" s="133"/>
      <c r="T1052" s="133"/>
      <c r="U1052" s="133"/>
      <c r="V1052" s="134" t="s">
        <v>975</v>
      </c>
      <c r="X1052" s="1585">
        <f>CM753</f>
        <v>75</v>
      </c>
      <c r="Y1052" s="1586"/>
      <c r="AF1052" s="923"/>
      <c r="AG1052" s="924"/>
      <c r="AH1052" s="924"/>
      <c r="AI1052" s="925"/>
      <c r="AJ1052" s="1403"/>
      <c r="AK1052" s="1404"/>
      <c r="AL1052" s="1404"/>
      <c r="AM1052" s="1404"/>
      <c r="AN1052" s="1404"/>
      <c r="AO1052" s="1404"/>
      <c r="AP1052" s="1404"/>
      <c r="AQ1052" s="1405"/>
      <c r="AR1052" s="68"/>
      <c r="AS1052" s="68"/>
      <c r="AT1052" s="68"/>
      <c r="AU1052" s="68"/>
      <c r="AV1052" s="68"/>
      <c r="AW1052" s="68"/>
      <c r="AX1052" s="68"/>
      <c r="AY1052" s="68"/>
      <c r="AZ1052" s="961">
        <f>ROUNDDOWN(MAX(0,BA1052*(SUM(AG1093,AL1093,AZ1045)-BD1052))+BF1052,0)</f>
        <v>0</v>
      </c>
      <c r="BA1052" s="1181">
        <f>IF(L1042,7%,5%)</f>
        <v>0.05</v>
      </c>
      <c r="BB1052" s="3" t="s">
        <v>2487</v>
      </c>
      <c r="BC1052" s="3"/>
      <c r="BD1052" s="3">
        <v>6666667</v>
      </c>
    </row>
    <row r="1053" spans="1:56" ht="12.95" customHeight="1">
      <c r="A1053" s="14"/>
      <c r="B1053" s="102"/>
      <c r="C1053" s="103"/>
      <c r="D1053" s="1583" t="s">
        <v>514</v>
      </c>
      <c r="E1053" s="1583"/>
      <c r="F1053" s="1583"/>
      <c r="G1053" s="1583"/>
      <c r="H1053" s="1583"/>
      <c r="I1053" s="1583"/>
      <c r="J1053" s="1583"/>
      <c r="K1053" s="1583"/>
      <c r="L1053" s="1583"/>
      <c r="M1053" s="1583"/>
      <c r="N1053" s="1583"/>
      <c r="O1053" s="1583"/>
      <c r="P1053" s="1583"/>
      <c r="Q1053" s="1583"/>
      <c r="R1053" s="1583"/>
      <c r="S1053" s="1583"/>
      <c r="T1053" s="1583"/>
      <c r="U1053" s="1583"/>
      <c r="V1053" s="1583"/>
      <c r="W1053" s="1583"/>
      <c r="X1053" s="1583"/>
      <c r="Y1053" s="1583"/>
      <c r="Z1053" s="1583"/>
      <c r="AA1053" s="1583"/>
      <c r="AB1053" s="1583"/>
      <c r="AC1053" s="1583"/>
      <c r="AD1053" s="1583"/>
      <c r="AE1053" s="1583"/>
      <c r="AF1053" s="1583"/>
      <c r="AG1053" s="1583"/>
      <c r="AH1053" s="1583"/>
      <c r="AI1053" s="1584"/>
      <c r="AJ1053" s="1596">
        <f>SUM(AJ992:AQ1052)</f>
        <v>162653269</v>
      </c>
      <c r="AK1053" s="1597"/>
      <c r="AL1053" s="1597"/>
      <c r="AM1053" s="1597"/>
      <c r="AN1053" s="1597"/>
      <c r="AO1053" s="1597"/>
      <c r="AP1053" s="1597"/>
      <c r="AQ1053" s="1598"/>
      <c r="AR1053" s="68"/>
      <c r="AS1053" s="68"/>
      <c r="AT1053" s="68"/>
      <c r="AU1053" s="68"/>
      <c r="AV1053" s="68"/>
      <c r="AW1053" s="68"/>
      <c r="AX1053" s="68"/>
      <c r="AY1053" s="68"/>
      <c r="AZ1053" s="1180">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2" t="s">
        <v>2473</v>
      </c>
      <c r="H1055" s="1173"/>
      <c r="I1055" s="1173"/>
      <c r="J1055" s="1173"/>
      <c r="K1055" s="1173"/>
      <c r="L1055" s="1173"/>
      <c r="M1055" s="1173"/>
      <c r="N1055" s="1173"/>
      <c r="O1055" s="1173"/>
      <c r="P1055" s="1173"/>
      <c r="Q1055" s="1173"/>
      <c r="R1055" s="1173"/>
      <c r="S1055" s="1173"/>
      <c r="T1055" s="1173"/>
      <c r="U1055" s="1173"/>
      <c r="V1055" s="1173"/>
      <c r="W1055" s="1173"/>
      <c r="X1055" s="1173"/>
      <c r="Y1055" s="1173"/>
      <c r="Z1055" s="1173"/>
      <c r="AA1055" s="1173"/>
      <c r="AB1055" s="1173"/>
      <c r="AC1055" s="1173"/>
      <c r="AD1055" s="1173"/>
      <c r="AE1055" s="1173"/>
      <c r="AF1055" s="1173"/>
      <c r="AG1055" s="1174"/>
      <c r="AH1055" s="1174"/>
      <c r="AI1055" s="1174"/>
      <c r="AJ1055" s="1174"/>
      <c r="AK1055" s="1174"/>
      <c r="AL1055" s="1174"/>
      <c r="AM1055" s="1174"/>
      <c r="AN1055" s="1174"/>
      <c r="AO1055" s="68"/>
      <c r="AP1055" s="68"/>
      <c r="AQ1055" s="68"/>
      <c r="AR1055" s="68"/>
      <c r="AS1055" s="68"/>
      <c r="AT1055" s="68"/>
      <c r="AU1055" s="68"/>
      <c r="AV1055" s="68"/>
      <c r="AW1055" s="68"/>
      <c r="AX1055" s="68"/>
      <c r="AY1055" s="68"/>
      <c r="AZ1055" s="3"/>
      <c r="BA1055" s="961">
        <f>MIN(MIN(MAX(AZ1051,AZ1052),AZ1053),BA1056)</f>
        <v>2500000</v>
      </c>
      <c r="BB1055" s="3" t="s">
        <v>2489</v>
      </c>
      <c r="BC1055" s="3"/>
      <c r="BD1055" s="3"/>
    </row>
    <row r="1056" spans="1:56" ht="12.95" customHeight="1">
      <c r="A1056" s="14"/>
      <c r="B1056" s="68"/>
      <c r="C1056" s="68"/>
      <c r="D1056" s="68"/>
      <c r="E1056" s="68"/>
      <c r="F1056" s="68"/>
      <c r="G1056" s="1175" t="s">
        <v>2474</v>
      </c>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863">
        <f>'Sources and Uses Budget'!S107+'Sources and Uses Budget'!T107</f>
        <v>79517552</v>
      </c>
      <c r="AB1056" s="1863"/>
      <c r="AC1056" s="1863"/>
      <c r="AD1056" s="1863"/>
      <c r="AE1056" s="1863"/>
      <c r="AF1056" s="1863"/>
      <c r="AG1056" s="1174"/>
      <c r="AH1056" s="1174"/>
      <c r="AI1056" s="1174"/>
      <c r="AJ1056" s="1174"/>
      <c r="AK1056" s="1174"/>
      <c r="AL1056" s="1174"/>
      <c r="AM1056" s="1174"/>
      <c r="AN1056" s="1174"/>
      <c r="AO1056" s="68"/>
      <c r="AP1056" s="68"/>
      <c r="AQ1056" s="68"/>
      <c r="AR1056" s="68"/>
      <c r="AS1056" s="68"/>
      <c r="AT1056" s="68"/>
      <c r="AU1056" s="68"/>
      <c r="AV1056" s="13"/>
      <c r="AW1056" s="13"/>
      <c r="AX1056" s="13"/>
      <c r="AY1056" s="13"/>
      <c r="AZ1056" s="3"/>
      <c r="BA1056" s="961">
        <f>SUM(AZ1046:AZ1049)</f>
        <v>10992978.149999999</v>
      </c>
      <c r="BB1056" s="3" t="s">
        <v>2490</v>
      </c>
      <c r="BC1056" s="3"/>
      <c r="BD1056" s="3"/>
    </row>
    <row r="1057" spans="1:54" ht="12.95" customHeight="1">
      <c r="A1057" s="14"/>
      <c r="B1057" s="68"/>
      <c r="C1057" s="68"/>
      <c r="D1057" s="68"/>
      <c r="E1057" s="68"/>
      <c r="F1057" s="68"/>
      <c r="G1057" s="1175"/>
      <c r="H1057" s="1175" t="s">
        <v>2475</v>
      </c>
      <c r="I1057" s="1176"/>
      <c r="J1057" s="1176"/>
      <c r="K1057" s="1176"/>
      <c r="L1057" s="1176"/>
      <c r="M1057" s="1176"/>
      <c r="N1057" s="1176"/>
      <c r="O1057" s="1176"/>
      <c r="P1057" s="1176"/>
      <c r="Q1057" s="1176"/>
      <c r="R1057" s="1176"/>
      <c r="S1057" s="1176"/>
      <c r="T1057" s="1176"/>
      <c r="U1057" s="1176"/>
      <c r="V1057" s="1176"/>
      <c r="W1057" s="1176"/>
      <c r="X1057" s="1176"/>
      <c r="Y1057" s="1176"/>
      <c r="Z1057" s="1178"/>
      <c r="AA1057" s="1864">
        <f>IFERROR((AA1056-BA1059)/(AJ1053-AJ1045-AJ1049),"")</f>
        <v>0.78572789974953272</v>
      </c>
      <c r="AB1057" s="1865"/>
      <c r="AC1057" s="1865"/>
      <c r="AD1057" s="1865"/>
      <c r="AE1057" s="1865"/>
      <c r="AF1057" s="1866"/>
      <c r="AG1057" s="1177"/>
      <c r="AH1057" s="1174"/>
      <c r="AI1057" s="1174"/>
      <c r="AJ1057" s="1174"/>
      <c r="AK1057" s="1174"/>
      <c r="AL1057" s="1174"/>
      <c r="AM1057" s="1174"/>
      <c r="AN1057" s="1174"/>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7"/>
      <c r="I1058" s="1867"/>
      <c r="J1058" s="1867"/>
      <c r="K1058" s="1867"/>
      <c r="L1058" s="1867"/>
      <c r="M1058" s="1867"/>
      <c r="N1058" s="1867"/>
      <c r="O1058" s="1867"/>
      <c r="P1058" s="1867"/>
      <c r="Q1058" s="1867"/>
      <c r="R1058" s="1867"/>
      <c r="S1058" s="1867"/>
      <c r="T1058" s="1867"/>
      <c r="U1058" s="1867"/>
      <c r="V1058" s="1867"/>
      <c r="W1058" s="1867"/>
      <c r="X1058" s="1867"/>
      <c r="Y1058" s="1867"/>
      <c r="Z1058" s="1867"/>
      <c r="AA1058" s="1867"/>
      <c r="AB1058" s="1867"/>
      <c r="AC1058" s="1867"/>
      <c r="AD1058" s="1867"/>
      <c r="AE1058" s="1867"/>
      <c r="AF1058" s="1867"/>
      <c r="AG1058" s="1867"/>
      <c r="AH1058" s="1867"/>
      <c r="AI1058" s="1867"/>
      <c r="AJ1058" s="1867"/>
      <c r="AK1058" s="1867"/>
      <c r="AL1058" s="1867"/>
      <c r="AM1058" s="1867"/>
      <c r="AN1058" s="1867"/>
      <c r="AO1058" s="68"/>
      <c r="AP1058" s="68"/>
      <c r="AQ1058" s="68"/>
      <c r="AR1058" s="68"/>
      <c r="AS1058" s="68"/>
      <c r="AT1058" s="68"/>
      <c r="AU1058" s="68"/>
      <c r="AV1058" s="14"/>
      <c r="AW1058" s="14"/>
      <c r="AX1058" s="14"/>
      <c r="AY1058" s="14"/>
      <c r="BA1058" s="1184">
        <f>'Sources and Uses Budget'!$S$104+'Sources and Uses Budget'!$T$104</f>
        <v>7466845</v>
      </c>
      <c r="BB1058" s="3" t="s">
        <v>2496</v>
      </c>
    </row>
    <row r="1059" spans="1:54" ht="12.95" customHeight="1">
      <c r="A1059" s="14"/>
      <c r="B1059" s="14"/>
      <c r="C1059" s="208"/>
      <c r="D1059" s="857"/>
      <c r="E1059" s="857"/>
      <c r="F1059" s="857"/>
      <c r="G1059" s="1867"/>
      <c r="H1059" s="1867"/>
      <c r="I1059" s="1867"/>
      <c r="J1059" s="1867"/>
      <c r="K1059" s="1867"/>
      <c r="L1059" s="1867"/>
      <c r="M1059" s="1867"/>
      <c r="N1059" s="1867"/>
      <c r="O1059" s="1867"/>
      <c r="P1059" s="1867"/>
      <c r="Q1059" s="1867"/>
      <c r="R1059" s="1867"/>
      <c r="S1059" s="1867"/>
      <c r="T1059" s="1867"/>
      <c r="U1059" s="1867"/>
      <c r="V1059" s="1867"/>
      <c r="W1059" s="1867"/>
      <c r="X1059" s="1867"/>
      <c r="Y1059" s="1867"/>
      <c r="Z1059" s="1867"/>
      <c r="AA1059" s="1867"/>
      <c r="AB1059" s="1867"/>
      <c r="AC1059" s="1867"/>
      <c r="AD1059" s="1867"/>
      <c r="AE1059" s="1867"/>
      <c r="AF1059" s="1867"/>
      <c r="AG1059" s="1867"/>
      <c r="AH1059" s="1867"/>
      <c r="AI1059" s="1867"/>
      <c r="AJ1059" s="1867"/>
      <c r="AK1059" s="1867"/>
      <c r="AL1059" s="1867"/>
      <c r="AM1059" s="1867"/>
      <c r="AN1059" s="1867"/>
      <c r="AO1059" s="68"/>
      <c r="AP1059" s="68"/>
      <c r="AQ1059" s="68"/>
      <c r="AR1059" s="68"/>
      <c r="AS1059" s="68"/>
      <c r="AT1059" s="68"/>
      <c r="AU1059" s="68"/>
      <c r="AV1059" s="14"/>
      <c r="AW1059" s="14"/>
      <c r="AX1059" s="14"/>
      <c r="AY1059" s="14"/>
      <c r="BA1059" s="1185">
        <f>MAX($BA$1058-$BA$1055,0)</f>
        <v>4966845</v>
      </c>
      <c r="BB1059" s="3" t="s">
        <v>2497</v>
      </c>
    </row>
    <row r="1060" spans="1:54" ht="12.95" customHeight="1">
      <c r="A1060" s="88"/>
      <c r="B1060" s="1171"/>
      <c r="C1060" s="1171"/>
      <c r="D1060" s="1171"/>
      <c r="E1060" s="1171"/>
      <c r="F1060" s="1171"/>
      <c r="G1060" s="1867"/>
      <c r="H1060" s="1867"/>
      <c r="I1060" s="1867"/>
      <c r="J1060" s="1867"/>
      <c r="K1060" s="1867"/>
      <c r="L1060" s="1867"/>
      <c r="M1060" s="1867"/>
      <c r="N1060" s="1867"/>
      <c r="O1060" s="1867"/>
      <c r="P1060" s="1867"/>
      <c r="Q1060" s="1867"/>
      <c r="R1060" s="1867"/>
      <c r="S1060" s="1867"/>
      <c r="T1060" s="1867"/>
      <c r="U1060" s="1867"/>
      <c r="V1060" s="1867"/>
      <c r="W1060" s="1867"/>
      <c r="X1060" s="1867"/>
      <c r="Y1060" s="1867"/>
      <c r="Z1060" s="1867"/>
      <c r="AA1060" s="1867"/>
      <c r="AB1060" s="1867"/>
      <c r="AC1060" s="1867"/>
      <c r="AD1060" s="1867"/>
      <c r="AE1060" s="1867"/>
      <c r="AF1060" s="1867"/>
      <c r="AG1060" s="1867"/>
      <c r="AH1060" s="1867"/>
      <c r="AI1060" s="1867"/>
      <c r="AJ1060" s="1867"/>
      <c r="AK1060" s="1867"/>
      <c r="AL1060" s="1867"/>
      <c r="AM1060" s="1867"/>
      <c r="AN1060" s="1867"/>
      <c r="AO1060" s="1171"/>
      <c r="AP1060" s="1171"/>
      <c r="AQ1060" s="68"/>
      <c r="AR1060" s="68"/>
      <c r="AS1060" s="68"/>
      <c r="AT1060" s="68"/>
      <c r="AU1060" s="68"/>
      <c r="AV1060" s="68"/>
      <c r="AW1060" s="68"/>
      <c r="AX1060" s="68"/>
      <c r="AY1060" s="68"/>
    </row>
    <row r="1061" spans="1:54" ht="12.95" customHeight="1">
      <c r="A1061" s="1377" t="s">
        <v>795</v>
      </c>
      <c r="B1061" s="1377"/>
      <c r="C1061" s="1377"/>
      <c r="D1061" s="1377"/>
      <c r="E1061" s="1377"/>
      <c r="F1061" s="1377"/>
      <c r="G1061" s="1377"/>
      <c r="H1061" s="1377"/>
      <c r="I1061" s="1377"/>
      <c r="J1061" s="1377"/>
      <c r="K1061" s="1377"/>
      <c r="L1061" s="1377"/>
      <c r="M1061" s="1377"/>
      <c r="N1061" s="1377"/>
      <c r="O1061" s="1377"/>
      <c r="P1061" s="1377"/>
      <c r="Q1061" s="1377"/>
      <c r="R1061" s="1377"/>
      <c r="S1061" s="1377"/>
      <c r="T1061" s="1377"/>
      <c r="U1061" s="1377"/>
      <c r="V1061" s="1377"/>
      <c r="W1061" s="1377"/>
      <c r="X1061" s="1377"/>
      <c r="Y1061" s="1377"/>
      <c r="Z1061" s="1377"/>
      <c r="AA1061" s="1377"/>
      <c r="AB1061" s="1377"/>
      <c r="AC1061" s="1377"/>
      <c r="AD1061" s="1377"/>
      <c r="AE1061" s="1377"/>
      <c r="AF1061" s="1377"/>
      <c r="AG1061" s="1377"/>
      <c r="AH1061" s="1377"/>
      <c r="AI1061" s="1377"/>
      <c r="AJ1061" s="1377"/>
      <c r="AK1061" s="1377"/>
      <c r="AL1061" s="1377"/>
      <c r="AM1061" s="1377"/>
      <c r="AN1061" s="1377"/>
      <c r="AO1061" s="1377"/>
      <c r="AP1061" s="1377"/>
      <c r="AQ1061" s="137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6" t="s">
        <v>592</v>
      </c>
      <c r="B1065" s="1336"/>
      <c r="C1065" s="1337">
        <v>1</v>
      </c>
      <c r="D1065" s="1337"/>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7"/>
      <c r="D1066" s="1337"/>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6" t="s">
        <v>592</v>
      </c>
      <c r="B1067" s="1336"/>
      <c r="C1067" s="1337">
        <v>2</v>
      </c>
      <c r="D1067" s="1337"/>
      <c r="E1067" s="1340" t="s">
        <v>2240</v>
      </c>
      <c r="F1067" s="1340"/>
      <c r="G1067" s="1340"/>
      <c r="H1067" s="1340"/>
      <c r="I1067" s="1340"/>
      <c r="J1067" s="1340"/>
      <c r="K1067" s="1340"/>
      <c r="L1067" s="1340"/>
      <c r="M1067" s="1340"/>
      <c r="N1067" s="1340"/>
      <c r="O1067" s="1340"/>
      <c r="P1067" s="1340"/>
      <c r="Q1067" s="1340"/>
      <c r="R1067" s="1340"/>
      <c r="S1067" s="1340"/>
      <c r="T1067" s="1340"/>
      <c r="U1067" s="1340"/>
      <c r="V1067" s="1340"/>
      <c r="W1067" s="1340"/>
      <c r="X1067" s="1340"/>
      <c r="Y1067" s="1340"/>
      <c r="Z1067" s="1340"/>
      <c r="AA1067" s="1340"/>
      <c r="AB1067" s="1340"/>
      <c r="AC1067" s="1340"/>
      <c r="AD1067" s="1340"/>
      <c r="AE1067" s="1340"/>
      <c r="AF1067" s="1340"/>
      <c r="AG1067" s="1340"/>
      <c r="AH1067" s="1340"/>
      <c r="AI1067" s="1340"/>
      <c r="AJ1067" s="1340"/>
      <c r="AK1067" s="1340"/>
      <c r="AL1067" s="1340"/>
      <c r="AM1067" s="1340"/>
      <c r="AN1067" s="1340"/>
      <c r="AO1067" s="1340"/>
      <c r="AP1067" s="1340"/>
      <c r="AQ1067" s="1340"/>
      <c r="AR1067" s="1340"/>
      <c r="AS1067" s="14"/>
      <c r="AT1067" s="14"/>
      <c r="AV1067" s="68"/>
      <c r="AW1067" s="68"/>
      <c r="AX1067" s="68"/>
      <c r="AY1067" s="68"/>
    </row>
    <row r="1068" spans="1:54" ht="12.95" customHeight="1">
      <c r="A1068" s="198"/>
      <c r="B1068" s="67"/>
      <c r="C1068" s="1337"/>
      <c r="D1068" s="1337"/>
      <c r="E1068" s="1340"/>
      <c r="F1068" s="1340"/>
      <c r="G1068" s="1340"/>
      <c r="H1068" s="1340"/>
      <c r="I1068" s="1340"/>
      <c r="J1068" s="1340"/>
      <c r="K1068" s="1340"/>
      <c r="L1068" s="1340"/>
      <c r="M1068" s="1340"/>
      <c r="N1068" s="1340"/>
      <c r="O1068" s="1340"/>
      <c r="P1068" s="1340"/>
      <c r="Q1068" s="1340"/>
      <c r="R1068" s="1340"/>
      <c r="S1068" s="1340"/>
      <c r="T1068" s="1340"/>
      <c r="U1068" s="1340"/>
      <c r="V1068" s="1340"/>
      <c r="W1068" s="1340"/>
      <c r="X1068" s="1340"/>
      <c r="Y1068" s="1340"/>
      <c r="Z1068" s="1340"/>
      <c r="AA1068" s="1340"/>
      <c r="AB1068" s="1340"/>
      <c r="AC1068" s="1340"/>
      <c r="AD1068" s="1340"/>
      <c r="AE1068" s="1340"/>
      <c r="AF1068" s="1340"/>
      <c r="AG1068" s="1340"/>
      <c r="AH1068" s="1340"/>
      <c r="AI1068" s="1340"/>
      <c r="AJ1068" s="1340"/>
      <c r="AK1068" s="1340"/>
      <c r="AL1068" s="1340"/>
      <c r="AM1068" s="1340"/>
      <c r="AN1068" s="1340"/>
      <c r="AO1068" s="1340"/>
      <c r="AP1068" s="1340"/>
      <c r="AQ1068" s="1340"/>
      <c r="AR1068" s="1340"/>
      <c r="AS1068" s="14"/>
      <c r="AT1068" s="14"/>
      <c r="AV1068" s="68"/>
      <c r="AW1068" s="68"/>
      <c r="AX1068" s="68"/>
      <c r="AY1068" s="68"/>
    </row>
    <row r="1069" spans="1:54" ht="12.95" customHeight="1">
      <c r="A1069" s="198"/>
      <c r="B1069" s="67"/>
      <c r="C1069" s="1337"/>
      <c r="D1069" s="1337"/>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6" t="s">
        <v>592</v>
      </c>
      <c r="B1070" s="1336"/>
      <c r="C1070" s="1339">
        <v>3</v>
      </c>
      <c r="D1070" s="1339"/>
      <c r="E1070" s="1296" t="s">
        <v>1081</v>
      </c>
      <c r="F1070" s="1296"/>
      <c r="G1070" s="1296"/>
      <c r="H1070" s="1296"/>
      <c r="I1070" s="1296"/>
      <c r="J1070" s="1296"/>
      <c r="K1070" s="1296"/>
      <c r="L1070" s="1296"/>
      <c r="M1070" s="1296"/>
      <c r="N1070" s="1296"/>
      <c r="O1070" s="1296"/>
      <c r="P1070" s="1296"/>
      <c r="Q1070" s="1296"/>
      <c r="R1070" s="1296"/>
      <c r="S1070" s="1296"/>
      <c r="T1070" s="1296"/>
      <c r="U1070" s="1296"/>
      <c r="V1070" s="1296"/>
      <c r="W1070" s="1296"/>
      <c r="X1070" s="1296"/>
      <c r="Y1070" s="1296"/>
      <c r="Z1070" s="1296"/>
      <c r="AA1070" s="1296"/>
      <c r="AB1070" s="1296"/>
      <c r="AC1070" s="1296"/>
      <c r="AD1070" s="1296"/>
      <c r="AE1070" s="1296"/>
      <c r="AF1070" s="1296"/>
      <c r="AG1070" s="1296"/>
      <c r="AH1070" s="1296"/>
      <c r="AI1070" s="1296"/>
      <c r="AJ1070" s="1296"/>
      <c r="AK1070" s="1296"/>
      <c r="AL1070" s="1296"/>
      <c r="AM1070" s="1296"/>
      <c r="AN1070" s="1296"/>
      <c r="AO1070" s="1296"/>
      <c r="AP1070" s="1296"/>
      <c r="AQ1070" s="1296"/>
      <c r="AR1070" s="1296"/>
      <c r="AS1070" s="14"/>
      <c r="AT1070" s="68"/>
      <c r="AV1070" s="68"/>
      <c r="AW1070" s="68"/>
      <c r="AX1070" s="68"/>
      <c r="AY1070" s="68"/>
    </row>
    <row r="1071" spans="1:54" ht="12.95" customHeight="1">
      <c r="A1071" s="1"/>
      <c r="B1071" s="1"/>
      <c r="C1071" s="1339"/>
      <c r="D1071" s="1339"/>
      <c r="E1071" s="1296"/>
      <c r="F1071" s="1296"/>
      <c r="G1071" s="1296"/>
      <c r="H1071" s="1296"/>
      <c r="I1071" s="1296"/>
      <c r="J1071" s="1296"/>
      <c r="K1071" s="1296"/>
      <c r="L1071" s="1296"/>
      <c r="M1071" s="1296"/>
      <c r="N1071" s="1296"/>
      <c r="O1071" s="1296"/>
      <c r="P1071" s="1296"/>
      <c r="Q1071" s="1296"/>
      <c r="R1071" s="1296"/>
      <c r="S1071" s="1296"/>
      <c r="T1071" s="1296"/>
      <c r="U1071" s="1296"/>
      <c r="V1071" s="1296"/>
      <c r="W1071" s="1296"/>
      <c r="X1071" s="1296"/>
      <c r="Y1071" s="1296"/>
      <c r="Z1071" s="1296"/>
      <c r="AA1071" s="1296"/>
      <c r="AB1071" s="1296"/>
      <c r="AC1071" s="1296"/>
      <c r="AD1071" s="1296"/>
      <c r="AE1071" s="1296"/>
      <c r="AF1071" s="1296"/>
      <c r="AG1071" s="1296"/>
      <c r="AH1071" s="1296"/>
      <c r="AI1071" s="1296"/>
      <c r="AJ1071" s="1296"/>
      <c r="AK1071" s="1296"/>
      <c r="AL1071" s="1296"/>
      <c r="AM1071" s="1296"/>
      <c r="AN1071" s="1296"/>
      <c r="AO1071" s="1296"/>
      <c r="AP1071" s="1296"/>
      <c r="AQ1071" s="1296"/>
      <c r="AR1071" s="1296"/>
      <c r="AS1071" s="14"/>
      <c r="AT1071" s="68"/>
      <c r="AV1071" s="68"/>
      <c r="AW1071" s="68"/>
      <c r="AX1071" s="68"/>
      <c r="AY1071" s="68"/>
    </row>
    <row r="1072" spans="1:54" ht="12.95" customHeight="1">
      <c r="A1072" s="1"/>
      <c r="B1072" s="1"/>
      <c r="C1072" s="1339"/>
      <c r="D1072" s="1339"/>
      <c r="E1072" s="1296"/>
      <c r="F1072" s="1296"/>
      <c r="G1072" s="1296"/>
      <c r="H1072" s="1296"/>
      <c r="I1072" s="1296"/>
      <c r="J1072" s="1296"/>
      <c r="K1072" s="1296"/>
      <c r="L1072" s="1296"/>
      <c r="M1072" s="1296"/>
      <c r="N1072" s="1296"/>
      <c r="O1072" s="1296"/>
      <c r="P1072" s="1296"/>
      <c r="Q1072" s="1296"/>
      <c r="R1072" s="1296"/>
      <c r="S1072" s="1296"/>
      <c r="T1072" s="1296"/>
      <c r="U1072" s="1296"/>
      <c r="V1072" s="1296"/>
      <c r="W1072" s="1296"/>
      <c r="X1072" s="1296"/>
      <c r="Y1072" s="1296"/>
      <c r="Z1072" s="1296"/>
      <c r="AA1072" s="1296"/>
      <c r="AB1072" s="1296"/>
      <c r="AC1072" s="1296"/>
      <c r="AD1072" s="1296"/>
      <c r="AE1072" s="1296"/>
      <c r="AF1072" s="1296"/>
      <c r="AG1072" s="1296"/>
      <c r="AH1072" s="1296"/>
      <c r="AI1072" s="1296"/>
      <c r="AJ1072" s="1296"/>
      <c r="AK1072" s="1296"/>
      <c r="AL1072" s="1296"/>
      <c r="AM1072" s="1296"/>
      <c r="AN1072" s="1296"/>
      <c r="AO1072" s="1296"/>
      <c r="AP1072" s="1296"/>
      <c r="AQ1072" s="1296"/>
      <c r="AR1072" s="1296"/>
      <c r="AS1072" s="14"/>
      <c r="AT1072" s="68"/>
      <c r="AV1072" s="68"/>
      <c r="AW1072" s="68"/>
      <c r="AX1072" s="68"/>
      <c r="AY1072" s="68"/>
    </row>
    <row r="1073" spans="1:51" ht="12.95" customHeight="1">
      <c r="A1073" s="1"/>
      <c r="B1073" s="1"/>
      <c r="C1073" s="1339"/>
      <c r="D1073" s="1339"/>
      <c r="E1073" s="1296"/>
      <c r="F1073" s="1296"/>
      <c r="G1073" s="1296"/>
      <c r="H1073" s="1296"/>
      <c r="I1073" s="1296"/>
      <c r="J1073" s="1296"/>
      <c r="K1073" s="1296"/>
      <c r="L1073" s="1296"/>
      <c r="M1073" s="1296"/>
      <c r="N1073" s="1296"/>
      <c r="O1073" s="1296"/>
      <c r="P1073" s="1296"/>
      <c r="Q1073" s="1296"/>
      <c r="R1073" s="1296"/>
      <c r="S1073" s="1296"/>
      <c r="T1073" s="1296"/>
      <c r="U1073" s="1296"/>
      <c r="V1073" s="1296"/>
      <c r="W1073" s="1296"/>
      <c r="X1073" s="1296"/>
      <c r="Y1073" s="1296"/>
      <c r="Z1073" s="1296"/>
      <c r="AA1073" s="1296"/>
      <c r="AB1073" s="1296"/>
      <c r="AC1073" s="1296"/>
      <c r="AD1073" s="1296"/>
      <c r="AE1073" s="1296"/>
      <c r="AF1073" s="1296"/>
      <c r="AG1073" s="1296"/>
      <c r="AH1073" s="1296"/>
      <c r="AI1073" s="1296"/>
      <c r="AJ1073" s="1296"/>
      <c r="AK1073" s="1296"/>
      <c r="AL1073" s="1296"/>
      <c r="AM1073" s="1296"/>
      <c r="AN1073" s="1296"/>
      <c r="AO1073" s="1296"/>
      <c r="AP1073" s="1296"/>
      <c r="AQ1073" s="1296"/>
      <c r="AR1073" s="1296"/>
      <c r="AS1073" s="14"/>
      <c r="AT1073" s="68"/>
      <c r="AV1073" s="68"/>
      <c r="AW1073" s="68"/>
      <c r="AX1073" s="68"/>
      <c r="AY1073" s="68"/>
    </row>
    <row r="1074" spans="1:51" ht="12.95" customHeight="1">
      <c r="A1074" s="2"/>
      <c r="B1074" s="25"/>
      <c r="C1074" s="1339"/>
      <c r="D1074" s="1339"/>
      <c r="E1074" s="454"/>
      <c r="F1074" s="454"/>
      <c r="G1074" s="454"/>
      <c r="H1074" s="454"/>
      <c r="I1074" s="454"/>
      <c r="J1074" s="454"/>
      <c r="K1074" s="454"/>
      <c r="L1074" s="454"/>
      <c r="M1074" s="454"/>
      <c r="N1074" s="454"/>
      <c r="O1074" s="454"/>
      <c r="P1074" s="454"/>
      <c r="Q1074" s="454"/>
      <c r="R1074" s="454"/>
      <c r="S1074" s="454"/>
      <c r="T1074" s="454"/>
      <c r="U1074" s="454"/>
      <c r="V1074" s="454"/>
      <c r="W1074" s="454"/>
      <c r="X1074" s="454"/>
      <c r="Y1074" s="454"/>
      <c r="Z1074" s="454"/>
      <c r="AA1074" s="454"/>
      <c r="AB1074" s="454"/>
      <c r="AC1074" s="454"/>
      <c r="AD1074" s="454"/>
      <c r="AE1074" s="454"/>
      <c r="AF1074" s="454"/>
      <c r="AG1074" s="454"/>
      <c r="AH1074" s="454"/>
      <c r="AI1074" s="454"/>
      <c r="AJ1074" s="454"/>
      <c r="AK1074" s="454"/>
      <c r="AL1074" s="68"/>
      <c r="AM1074" s="68"/>
      <c r="AN1074" s="68"/>
      <c r="AO1074" s="68"/>
      <c r="AP1074" s="68"/>
      <c r="AQ1074" s="68"/>
      <c r="AR1074" s="68"/>
      <c r="AS1074" s="14"/>
      <c r="AT1074" s="68"/>
      <c r="AV1074" s="68"/>
      <c r="AW1074" s="68"/>
      <c r="AX1074" s="68"/>
      <c r="AY1074" s="68"/>
    </row>
    <row r="1075" spans="1:51" ht="12.95" customHeight="1">
      <c r="A1075" s="1336" t="s">
        <v>592</v>
      </c>
      <c r="B1075" s="1336"/>
      <c r="C1075" s="1339">
        <v>4</v>
      </c>
      <c r="D1075" s="1339"/>
      <c r="E1075" s="1296" t="s">
        <v>1080</v>
      </c>
      <c r="F1075" s="1296"/>
      <c r="G1075" s="1296"/>
      <c r="H1075" s="1296"/>
      <c r="I1075" s="1296"/>
      <c r="J1075" s="1296"/>
      <c r="K1075" s="1296"/>
      <c r="L1075" s="1296"/>
      <c r="M1075" s="1296"/>
      <c r="N1075" s="1296"/>
      <c r="O1075" s="1296"/>
      <c r="P1075" s="1296"/>
      <c r="Q1075" s="1296"/>
      <c r="R1075" s="1296"/>
      <c r="S1075" s="1296"/>
      <c r="T1075" s="1296"/>
      <c r="U1075" s="1296"/>
      <c r="V1075" s="1296"/>
      <c r="W1075" s="1296"/>
      <c r="X1075" s="1296"/>
      <c r="Y1075" s="1296"/>
      <c r="Z1075" s="1296"/>
      <c r="AA1075" s="1296"/>
      <c r="AB1075" s="1296"/>
      <c r="AC1075" s="1296"/>
      <c r="AD1075" s="1296"/>
      <c r="AE1075" s="1296"/>
      <c r="AF1075" s="1296"/>
      <c r="AG1075" s="1296"/>
      <c r="AH1075" s="1296"/>
      <c r="AI1075" s="1296"/>
      <c r="AJ1075" s="1296"/>
      <c r="AK1075" s="1296"/>
      <c r="AL1075" s="1296"/>
      <c r="AM1075" s="1296"/>
      <c r="AN1075" s="1296"/>
      <c r="AO1075" s="1296"/>
      <c r="AP1075" s="1296"/>
      <c r="AQ1075" s="1296"/>
      <c r="AR1075" s="1296"/>
      <c r="AS1075" s="14"/>
      <c r="AT1075" s="68"/>
    </row>
    <row r="1076" spans="1:51" ht="12.95" customHeight="1">
      <c r="A1076" s="1"/>
      <c r="B1076" s="1"/>
      <c r="C1076" s="1339"/>
      <c r="D1076" s="1339"/>
      <c r="E1076" s="1296"/>
      <c r="F1076" s="1296"/>
      <c r="G1076" s="1296"/>
      <c r="H1076" s="1296"/>
      <c r="I1076" s="1296"/>
      <c r="J1076" s="1296"/>
      <c r="K1076" s="1296"/>
      <c r="L1076" s="1296"/>
      <c r="M1076" s="1296"/>
      <c r="N1076" s="1296"/>
      <c r="O1076" s="1296"/>
      <c r="P1076" s="1296"/>
      <c r="Q1076" s="1296"/>
      <c r="R1076" s="1296"/>
      <c r="S1076" s="1296"/>
      <c r="T1076" s="1296"/>
      <c r="U1076" s="1296"/>
      <c r="V1076" s="1296"/>
      <c r="W1076" s="1296"/>
      <c r="X1076" s="1296"/>
      <c r="Y1076" s="1296"/>
      <c r="Z1076" s="1296"/>
      <c r="AA1076" s="1296"/>
      <c r="AB1076" s="1296"/>
      <c r="AC1076" s="1296"/>
      <c r="AD1076" s="1296"/>
      <c r="AE1076" s="1296"/>
      <c r="AF1076" s="1296"/>
      <c r="AG1076" s="1296"/>
      <c r="AH1076" s="1296"/>
      <c r="AI1076" s="1296"/>
      <c r="AJ1076" s="1296"/>
      <c r="AK1076" s="1296"/>
      <c r="AL1076" s="1296"/>
      <c r="AM1076" s="1296"/>
      <c r="AN1076" s="1296"/>
      <c r="AO1076" s="1296"/>
      <c r="AP1076" s="1296"/>
      <c r="AQ1076" s="1296"/>
      <c r="AR1076" s="1296"/>
      <c r="AS1076" s="14"/>
      <c r="AT1076" s="68"/>
    </row>
    <row r="1077" spans="1:51" ht="12.95" customHeight="1">
      <c r="A1077" s="1"/>
      <c r="B1077" s="1"/>
      <c r="C1077" s="1339"/>
      <c r="D1077" s="1339"/>
      <c r="E1077" s="1296"/>
      <c r="F1077" s="1296"/>
      <c r="G1077" s="1296"/>
      <c r="H1077" s="1296"/>
      <c r="I1077" s="1296"/>
      <c r="J1077" s="1296"/>
      <c r="K1077" s="1296"/>
      <c r="L1077" s="1296"/>
      <c r="M1077" s="1296"/>
      <c r="N1077" s="1296"/>
      <c r="O1077" s="1296"/>
      <c r="P1077" s="1296"/>
      <c r="Q1077" s="1296"/>
      <c r="R1077" s="1296"/>
      <c r="S1077" s="1296"/>
      <c r="T1077" s="1296"/>
      <c r="U1077" s="1296"/>
      <c r="V1077" s="1296"/>
      <c r="W1077" s="1296"/>
      <c r="X1077" s="1296"/>
      <c r="Y1077" s="1296"/>
      <c r="Z1077" s="1296"/>
      <c r="AA1077" s="1296"/>
      <c r="AB1077" s="1296"/>
      <c r="AC1077" s="1296"/>
      <c r="AD1077" s="1296"/>
      <c r="AE1077" s="1296"/>
      <c r="AF1077" s="1296"/>
      <c r="AG1077" s="1296"/>
      <c r="AH1077" s="1296"/>
      <c r="AI1077" s="1296"/>
      <c r="AJ1077" s="1296"/>
      <c r="AK1077" s="1296"/>
      <c r="AL1077" s="1296"/>
      <c r="AM1077" s="1296"/>
      <c r="AN1077" s="1296"/>
      <c r="AO1077" s="1296"/>
      <c r="AP1077" s="1296"/>
      <c r="AQ1077" s="1296"/>
      <c r="AR1077" s="1296"/>
      <c r="AS1077" s="14"/>
      <c r="AT1077" s="68"/>
    </row>
    <row r="1078" spans="1:51" ht="12.95" customHeight="1">
      <c r="A1078" s="1"/>
      <c r="B1078" s="1"/>
      <c r="C1078" s="1339"/>
      <c r="D1078" s="1339"/>
      <c r="E1078" s="1296"/>
      <c r="F1078" s="1296"/>
      <c r="G1078" s="1296"/>
      <c r="H1078" s="1296"/>
      <c r="I1078" s="1296"/>
      <c r="J1078" s="1296"/>
      <c r="K1078" s="1296"/>
      <c r="L1078" s="1296"/>
      <c r="M1078" s="1296"/>
      <c r="N1078" s="1296"/>
      <c r="O1078" s="1296"/>
      <c r="P1078" s="1296"/>
      <c r="Q1078" s="1296"/>
      <c r="R1078" s="1296"/>
      <c r="S1078" s="1296"/>
      <c r="T1078" s="1296"/>
      <c r="U1078" s="1296"/>
      <c r="V1078" s="1296"/>
      <c r="W1078" s="1296"/>
      <c r="X1078" s="1296"/>
      <c r="Y1078" s="1296"/>
      <c r="Z1078" s="1296"/>
      <c r="AA1078" s="1296"/>
      <c r="AB1078" s="1296"/>
      <c r="AC1078" s="1296"/>
      <c r="AD1078" s="1296"/>
      <c r="AE1078" s="1296"/>
      <c r="AF1078" s="1296"/>
      <c r="AG1078" s="1296"/>
      <c r="AH1078" s="1296"/>
      <c r="AI1078" s="1296"/>
      <c r="AJ1078" s="1296"/>
      <c r="AK1078" s="1296"/>
      <c r="AL1078" s="1296"/>
      <c r="AM1078" s="1296"/>
      <c r="AN1078" s="1296"/>
      <c r="AO1078" s="1296"/>
      <c r="AP1078" s="1296"/>
      <c r="AQ1078" s="1296"/>
      <c r="AR1078" s="1296"/>
      <c r="AS1078" s="14"/>
      <c r="AT1078" s="68"/>
    </row>
    <row r="1079" spans="1:51" ht="12.95" customHeight="1">
      <c r="A1079" s="1"/>
      <c r="B1079" s="1"/>
      <c r="C1079" s="1339"/>
      <c r="D1079" s="1339"/>
      <c r="E1079" s="1296"/>
      <c r="F1079" s="1296"/>
      <c r="G1079" s="1296"/>
      <c r="H1079" s="1296"/>
      <c r="I1079" s="1296"/>
      <c r="J1079" s="1296"/>
      <c r="K1079" s="1296"/>
      <c r="L1079" s="1296"/>
      <c r="M1079" s="1296"/>
      <c r="N1079" s="1296"/>
      <c r="O1079" s="1296"/>
      <c r="P1079" s="1296"/>
      <c r="Q1079" s="1296"/>
      <c r="R1079" s="1296"/>
      <c r="S1079" s="1296"/>
      <c r="T1079" s="1296"/>
      <c r="U1079" s="1296"/>
      <c r="V1079" s="1296"/>
      <c r="W1079" s="1296"/>
      <c r="X1079" s="1296"/>
      <c r="Y1079" s="1296"/>
      <c r="Z1079" s="1296"/>
      <c r="AA1079" s="1296"/>
      <c r="AB1079" s="1296"/>
      <c r="AC1079" s="1296"/>
      <c r="AD1079" s="1296"/>
      <c r="AE1079" s="1296"/>
      <c r="AF1079" s="1296"/>
      <c r="AG1079" s="1296"/>
      <c r="AH1079" s="1296"/>
      <c r="AI1079" s="1296"/>
      <c r="AJ1079" s="1296"/>
      <c r="AK1079" s="1296"/>
      <c r="AL1079" s="1296"/>
      <c r="AM1079" s="1296"/>
      <c r="AN1079" s="1296"/>
      <c r="AO1079" s="1296"/>
      <c r="AP1079" s="1296"/>
      <c r="AQ1079" s="1296"/>
      <c r="AR1079" s="1296"/>
      <c r="AS1079" s="14"/>
      <c r="AT1079" s="68"/>
    </row>
    <row r="1080" spans="1:51" ht="12.95" customHeight="1">
      <c r="A1080" s="1"/>
      <c r="B1080" s="1"/>
      <c r="C1080" s="1339"/>
      <c r="D1080" s="1339"/>
      <c r="E1080" s="454"/>
      <c r="F1080" s="454"/>
      <c r="G1080" s="454"/>
      <c r="H1080" s="454"/>
      <c r="I1080" s="454"/>
      <c r="J1080" s="454"/>
      <c r="K1080" s="454"/>
      <c r="L1080" s="454"/>
      <c r="M1080" s="454"/>
      <c r="N1080" s="454"/>
      <c r="O1080" s="454"/>
      <c r="P1080" s="454"/>
      <c r="Q1080" s="454"/>
      <c r="R1080" s="454"/>
      <c r="S1080" s="454"/>
      <c r="T1080" s="454"/>
      <c r="U1080" s="454"/>
      <c r="V1080" s="454"/>
      <c r="W1080" s="454"/>
      <c r="X1080" s="454"/>
      <c r="Y1080" s="454"/>
      <c r="Z1080" s="454"/>
      <c r="AA1080" s="454"/>
      <c r="AB1080" s="454"/>
      <c r="AC1080" s="454"/>
      <c r="AD1080" s="454"/>
      <c r="AE1080" s="454"/>
      <c r="AF1080" s="454"/>
      <c r="AG1080" s="454"/>
      <c r="AH1080" s="454"/>
      <c r="AI1080" s="454"/>
      <c r="AJ1080" s="454"/>
      <c r="AK1080" s="454"/>
      <c r="AS1080" s="14"/>
    </row>
    <row r="1081" spans="1:51" ht="12.95" customHeight="1">
      <c r="A1081" s="1336" t="s">
        <v>592</v>
      </c>
      <c r="B1081" s="1336"/>
      <c r="C1081" s="1339">
        <v>5</v>
      </c>
      <c r="D1081" s="1339"/>
      <c r="E1081" s="1296" t="s">
        <v>2244</v>
      </c>
      <c r="F1081" s="1296"/>
      <c r="G1081" s="1296"/>
      <c r="H1081" s="1296"/>
      <c r="I1081" s="1296"/>
      <c r="J1081" s="1296"/>
      <c r="K1081" s="1296"/>
      <c r="L1081" s="1296"/>
      <c r="M1081" s="1296"/>
      <c r="N1081" s="1296"/>
      <c r="O1081" s="1296"/>
      <c r="P1081" s="1296"/>
      <c r="Q1081" s="1296"/>
      <c r="R1081" s="1296"/>
      <c r="S1081" s="1296"/>
      <c r="T1081" s="1296"/>
      <c r="U1081" s="1296"/>
      <c r="V1081" s="1296"/>
      <c r="W1081" s="1296"/>
      <c r="X1081" s="1296"/>
      <c r="Y1081" s="1296"/>
      <c r="Z1081" s="1296"/>
      <c r="AA1081" s="1296"/>
      <c r="AB1081" s="1296"/>
      <c r="AC1081" s="1296"/>
      <c r="AD1081" s="1296"/>
      <c r="AE1081" s="1296"/>
      <c r="AF1081" s="1296"/>
      <c r="AG1081" s="1296"/>
      <c r="AH1081" s="1296"/>
      <c r="AI1081" s="1296"/>
      <c r="AJ1081" s="1296"/>
      <c r="AK1081" s="1296"/>
      <c r="AL1081" s="1296"/>
      <c r="AM1081" s="1296"/>
      <c r="AN1081" s="1296"/>
      <c r="AO1081" s="1296"/>
      <c r="AP1081" s="1296"/>
      <c r="AQ1081" s="1296"/>
      <c r="AR1081" s="1296"/>
      <c r="AS1081" s="14"/>
    </row>
    <row r="1082" spans="1:51" ht="12.95" customHeight="1">
      <c r="A1082" s="4"/>
      <c r="B1082" s="4"/>
      <c r="C1082" s="1339"/>
      <c r="D1082" s="1339"/>
      <c r="E1082" s="1296"/>
      <c r="F1082" s="1296"/>
      <c r="G1082" s="1296"/>
      <c r="H1082" s="1296"/>
      <c r="I1082" s="1296"/>
      <c r="J1082" s="1296"/>
      <c r="K1082" s="1296"/>
      <c r="L1082" s="1296"/>
      <c r="M1082" s="1296"/>
      <c r="N1082" s="1296"/>
      <c r="O1082" s="1296"/>
      <c r="P1082" s="1296"/>
      <c r="Q1082" s="1296"/>
      <c r="R1082" s="1296"/>
      <c r="S1082" s="1296"/>
      <c r="T1082" s="1296"/>
      <c r="U1082" s="1296"/>
      <c r="V1082" s="1296"/>
      <c r="W1082" s="1296"/>
      <c r="X1082" s="1296"/>
      <c r="Y1082" s="1296"/>
      <c r="Z1082" s="1296"/>
      <c r="AA1082" s="1296"/>
      <c r="AB1082" s="1296"/>
      <c r="AC1082" s="1296"/>
      <c r="AD1082" s="1296"/>
      <c r="AE1082" s="1296"/>
      <c r="AF1082" s="1296"/>
      <c r="AG1082" s="1296"/>
      <c r="AH1082" s="1296"/>
      <c r="AI1082" s="1296"/>
      <c r="AJ1082" s="1296"/>
      <c r="AK1082" s="1296"/>
      <c r="AL1082" s="1296"/>
      <c r="AM1082" s="1296"/>
      <c r="AN1082" s="1296"/>
      <c r="AO1082" s="1296"/>
      <c r="AP1082" s="1296"/>
      <c r="AQ1082" s="1296"/>
      <c r="AR1082" s="1296"/>
      <c r="AS1082" s="14"/>
    </row>
    <row r="1083" spans="1:51" ht="12.95" customHeight="1">
      <c r="A1083" s="4"/>
      <c r="B1083" s="4"/>
      <c r="C1083" s="1339"/>
      <c r="D1083" s="1339"/>
      <c r="E1083" s="1296"/>
      <c r="F1083" s="1296"/>
      <c r="G1083" s="1296"/>
      <c r="H1083" s="1296"/>
      <c r="I1083" s="1296"/>
      <c r="J1083" s="1296"/>
      <c r="K1083" s="1296"/>
      <c r="L1083" s="1296"/>
      <c r="M1083" s="1296"/>
      <c r="N1083" s="1296"/>
      <c r="O1083" s="1296"/>
      <c r="P1083" s="1296"/>
      <c r="Q1083" s="1296"/>
      <c r="R1083" s="1296"/>
      <c r="S1083" s="1296"/>
      <c r="T1083" s="1296"/>
      <c r="U1083" s="1296"/>
      <c r="V1083" s="1296"/>
      <c r="W1083" s="1296"/>
      <c r="X1083" s="1296"/>
      <c r="Y1083" s="1296"/>
      <c r="Z1083" s="1296"/>
      <c r="AA1083" s="1296"/>
      <c r="AB1083" s="1296"/>
      <c r="AC1083" s="1296"/>
      <c r="AD1083" s="1296"/>
      <c r="AE1083" s="1296"/>
      <c r="AF1083" s="1296"/>
      <c r="AG1083" s="1296"/>
      <c r="AH1083" s="1296"/>
      <c r="AI1083" s="1296"/>
      <c r="AJ1083" s="1296"/>
      <c r="AK1083" s="1296"/>
      <c r="AL1083" s="1296"/>
      <c r="AM1083" s="1296"/>
      <c r="AN1083" s="1296"/>
      <c r="AO1083" s="1296"/>
      <c r="AP1083" s="1296"/>
      <c r="AQ1083" s="1296"/>
      <c r="AR1083" s="1296"/>
      <c r="AS1083" s="14"/>
    </row>
    <row r="1084" spans="1:51" ht="12.95" customHeight="1">
      <c r="A1084" s="35"/>
      <c r="B1084" s="25"/>
      <c r="C1084" s="1339"/>
      <c r="D1084" s="1339"/>
      <c r="E1084" s="454"/>
      <c r="F1084" s="454"/>
      <c r="G1084" s="454"/>
      <c r="H1084" s="454"/>
      <c r="I1084" s="454"/>
      <c r="J1084" s="454"/>
      <c r="K1084" s="454"/>
      <c r="L1084" s="454"/>
      <c r="M1084" s="454"/>
      <c r="N1084" s="454"/>
      <c r="O1084" s="454"/>
      <c r="P1084" s="454"/>
      <c r="Q1084" s="454"/>
      <c r="R1084" s="454"/>
      <c r="S1084" s="454"/>
      <c r="T1084" s="454"/>
      <c r="U1084" s="454"/>
      <c r="V1084" s="454"/>
      <c r="W1084" s="454"/>
      <c r="X1084" s="454"/>
      <c r="Y1084" s="454"/>
      <c r="Z1084" s="454"/>
      <c r="AA1084" s="454"/>
      <c r="AB1084" s="454"/>
      <c r="AC1084" s="454"/>
      <c r="AD1084" s="454"/>
      <c r="AE1084" s="454"/>
      <c r="AF1084" s="454"/>
      <c r="AG1084" s="454"/>
      <c r="AH1084" s="454"/>
      <c r="AI1084" s="454"/>
      <c r="AJ1084" s="454"/>
      <c r="AK1084" s="454"/>
      <c r="AS1084" s="14"/>
    </row>
    <row r="1085" spans="1:51" ht="12.95" customHeight="1">
      <c r="A1085" s="1336" t="s">
        <v>592</v>
      </c>
      <c r="B1085" s="1336"/>
      <c r="C1085" s="1339">
        <v>6</v>
      </c>
      <c r="D1085" s="1339"/>
      <c r="E1085" s="1296" t="s">
        <v>2245</v>
      </c>
      <c r="F1085" s="1296"/>
      <c r="G1085" s="1296"/>
      <c r="H1085" s="1296"/>
      <c r="I1085" s="1296"/>
      <c r="J1085" s="1296"/>
      <c r="K1085" s="1296"/>
      <c r="L1085" s="1296"/>
      <c r="M1085" s="1296"/>
      <c r="N1085" s="1296"/>
      <c r="O1085" s="1296"/>
      <c r="P1085" s="1296"/>
      <c r="Q1085" s="1296"/>
      <c r="R1085" s="1296"/>
      <c r="S1085" s="1296"/>
      <c r="T1085" s="1296"/>
      <c r="U1085" s="1296"/>
      <c r="V1085" s="1296"/>
      <c r="W1085" s="1296"/>
      <c r="X1085" s="1296"/>
      <c r="Y1085" s="1296"/>
      <c r="Z1085" s="1296"/>
      <c r="AA1085" s="1296"/>
      <c r="AB1085" s="1296"/>
      <c r="AC1085" s="1296"/>
      <c r="AD1085" s="1296"/>
      <c r="AE1085" s="1296"/>
      <c r="AF1085" s="1296"/>
      <c r="AG1085" s="1296"/>
      <c r="AH1085" s="1296"/>
      <c r="AI1085" s="1296"/>
      <c r="AJ1085" s="1296"/>
      <c r="AK1085" s="1296"/>
      <c r="AL1085" s="1296"/>
      <c r="AM1085" s="1296"/>
      <c r="AN1085" s="1296"/>
      <c r="AO1085" s="1296"/>
      <c r="AP1085" s="1296"/>
      <c r="AQ1085" s="1296"/>
      <c r="AR1085" s="1296"/>
      <c r="AS1085" s="14"/>
    </row>
    <row r="1086" spans="1:51" ht="12.95" customHeight="1">
      <c r="A1086" s="1"/>
      <c r="B1086" s="1"/>
      <c r="C1086" s="1"/>
      <c r="D1086" s="1"/>
      <c r="E1086" s="1296"/>
      <c r="F1086" s="1296"/>
      <c r="G1086" s="1296"/>
      <c r="H1086" s="1296"/>
      <c r="I1086" s="1296"/>
      <c r="J1086" s="1296"/>
      <c r="K1086" s="1296"/>
      <c r="L1086" s="1296"/>
      <c r="M1086" s="1296"/>
      <c r="N1086" s="1296"/>
      <c r="O1086" s="1296"/>
      <c r="P1086" s="1296"/>
      <c r="Q1086" s="1296"/>
      <c r="R1086" s="1296"/>
      <c r="S1086" s="1296"/>
      <c r="T1086" s="1296"/>
      <c r="U1086" s="1296"/>
      <c r="V1086" s="1296"/>
      <c r="W1086" s="1296"/>
      <c r="X1086" s="1296"/>
      <c r="Y1086" s="1296"/>
      <c r="Z1086" s="1296"/>
      <c r="AA1086" s="1296"/>
      <c r="AB1086" s="1296"/>
      <c r="AC1086" s="1296"/>
      <c r="AD1086" s="1296"/>
      <c r="AE1086" s="1296"/>
      <c r="AF1086" s="1296"/>
      <c r="AG1086" s="1296"/>
      <c r="AH1086" s="1296"/>
      <c r="AI1086" s="1296"/>
      <c r="AJ1086" s="1296"/>
      <c r="AK1086" s="1296"/>
      <c r="AL1086" s="1296"/>
      <c r="AM1086" s="1296"/>
      <c r="AN1086" s="1296"/>
      <c r="AO1086" s="1296"/>
      <c r="AP1086" s="1296"/>
      <c r="AQ1086" s="1296"/>
      <c r="AR1086" s="1296"/>
      <c r="AS1086" s="14"/>
    </row>
    <row r="1087" spans="1:51" ht="12.95" customHeight="1">
      <c r="A1087" s="1"/>
      <c r="B1087" s="1"/>
      <c r="C1087" s="1339"/>
      <c r="D1087" s="1339"/>
      <c r="E1087" s="1296"/>
      <c r="F1087" s="1296"/>
      <c r="G1087" s="1296"/>
      <c r="H1087" s="1296"/>
      <c r="I1087" s="1296"/>
      <c r="J1087" s="1296"/>
      <c r="K1087" s="1296"/>
      <c r="L1087" s="1296"/>
      <c r="M1087" s="1296"/>
      <c r="N1087" s="1296"/>
      <c r="O1087" s="1296"/>
      <c r="P1087" s="1296"/>
      <c r="Q1087" s="1296"/>
      <c r="R1087" s="1296"/>
      <c r="S1087" s="1296"/>
      <c r="T1087" s="1296"/>
      <c r="U1087" s="1296"/>
      <c r="V1087" s="1296"/>
      <c r="W1087" s="1296"/>
      <c r="X1087" s="1296"/>
      <c r="Y1087" s="1296"/>
      <c r="Z1087" s="1296"/>
      <c r="AA1087" s="1296"/>
      <c r="AB1087" s="1296"/>
      <c r="AC1087" s="1296"/>
      <c r="AD1087" s="1296"/>
      <c r="AE1087" s="1296"/>
      <c r="AF1087" s="1296"/>
      <c r="AG1087" s="1296"/>
      <c r="AH1087" s="1296"/>
      <c r="AI1087" s="1296"/>
      <c r="AJ1087" s="1296"/>
      <c r="AK1087" s="1296"/>
      <c r="AL1087" s="1296"/>
      <c r="AM1087" s="1296"/>
      <c r="AN1087" s="1296"/>
      <c r="AO1087" s="1296"/>
      <c r="AP1087" s="1296"/>
      <c r="AQ1087" s="1296"/>
      <c r="AR1087" s="1296"/>
      <c r="AS1087" s="14"/>
    </row>
    <row r="1088" spans="1:51" ht="12.95" customHeight="1">
      <c r="A1088" s="35"/>
      <c r="B1088" s="25"/>
      <c r="C1088" s="1339"/>
      <c r="D1088" s="1339"/>
      <c r="E1088" s="454"/>
      <c r="F1088" s="454"/>
      <c r="G1088" s="454"/>
      <c r="H1088" s="454"/>
      <c r="I1088" s="454"/>
      <c r="J1088" s="454"/>
      <c r="K1088" s="454"/>
      <c r="L1088" s="454"/>
      <c r="M1088" s="454"/>
      <c r="N1088" s="454"/>
      <c r="O1088" s="454"/>
      <c r="P1088" s="454"/>
      <c r="Q1088" s="454"/>
      <c r="R1088" s="454"/>
      <c r="S1088" s="454"/>
      <c r="T1088" s="454"/>
      <c r="U1088" s="454"/>
      <c r="V1088" s="454"/>
      <c r="W1088" s="454"/>
      <c r="X1088" s="454"/>
      <c r="Y1088" s="454"/>
      <c r="Z1088" s="454"/>
      <c r="AA1088" s="454"/>
      <c r="AB1088" s="454"/>
      <c r="AC1088" s="454"/>
      <c r="AD1088" s="454"/>
      <c r="AE1088" s="454"/>
      <c r="AF1088" s="454"/>
      <c r="AG1088" s="454"/>
      <c r="AH1088" s="454"/>
      <c r="AI1088" s="454"/>
      <c r="AJ1088" s="454"/>
      <c r="AK1088" s="454"/>
      <c r="AS1088" s="14"/>
    </row>
    <row r="1089" spans="1:45" ht="12.95" customHeight="1">
      <c r="A1089" s="1336" t="s">
        <v>592</v>
      </c>
      <c r="B1089" s="1336"/>
      <c r="C1089" s="1339">
        <v>7</v>
      </c>
      <c r="D1089" s="1339"/>
      <c r="E1089" s="1296" t="s">
        <v>2140</v>
      </c>
      <c r="F1089" s="1296"/>
      <c r="G1089" s="1296"/>
      <c r="H1089" s="1296"/>
      <c r="I1089" s="1296"/>
      <c r="J1089" s="1296"/>
      <c r="K1089" s="1296"/>
      <c r="L1089" s="1296"/>
      <c r="M1089" s="1296"/>
      <c r="N1089" s="1296"/>
      <c r="O1089" s="1296"/>
      <c r="P1089" s="1296"/>
      <c r="Q1089" s="1296"/>
      <c r="R1089" s="1296"/>
      <c r="S1089" s="1296"/>
      <c r="T1089" s="1296"/>
      <c r="U1089" s="1296"/>
      <c r="V1089" s="1296"/>
      <c r="W1089" s="1296"/>
      <c r="X1089" s="1296"/>
      <c r="Y1089" s="1296"/>
      <c r="Z1089" s="1296"/>
      <c r="AA1089" s="1296"/>
      <c r="AB1089" s="1296"/>
      <c r="AC1089" s="1296"/>
      <c r="AD1089" s="1296"/>
      <c r="AE1089" s="1296"/>
      <c r="AF1089" s="1296"/>
      <c r="AG1089" s="1296"/>
      <c r="AH1089" s="1296"/>
      <c r="AI1089" s="1296"/>
      <c r="AJ1089" s="1296"/>
      <c r="AK1089" s="1296"/>
      <c r="AL1089" s="1296"/>
      <c r="AM1089" s="1296"/>
      <c r="AN1089" s="1296"/>
      <c r="AO1089" s="1296"/>
      <c r="AP1089" s="1296"/>
      <c r="AQ1089" s="1296"/>
      <c r="AR1089" s="1296"/>
      <c r="AS1089" s="14"/>
    </row>
    <row r="1090" spans="1:45" ht="12.95" customHeight="1">
      <c r="A1090" s="1"/>
      <c r="B1090" s="1"/>
      <c r="C1090" s="1339"/>
      <c r="D1090" s="1339"/>
      <c r="E1090" s="1296"/>
      <c r="F1090" s="1296"/>
      <c r="G1090" s="1296"/>
      <c r="H1090" s="1296"/>
      <c r="I1090" s="1296"/>
      <c r="J1090" s="1296"/>
      <c r="K1090" s="1296"/>
      <c r="L1090" s="1296"/>
      <c r="M1090" s="1296"/>
      <c r="N1090" s="1296"/>
      <c r="O1090" s="1296"/>
      <c r="P1090" s="1296"/>
      <c r="Q1090" s="1296"/>
      <c r="R1090" s="1296"/>
      <c r="S1090" s="1296"/>
      <c r="T1090" s="1296"/>
      <c r="U1090" s="1296"/>
      <c r="V1090" s="1296"/>
      <c r="W1090" s="1296"/>
      <c r="X1090" s="1296"/>
      <c r="Y1090" s="1296"/>
      <c r="Z1090" s="1296"/>
      <c r="AA1090" s="1296"/>
      <c r="AB1090" s="1296"/>
      <c r="AC1090" s="1296"/>
      <c r="AD1090" s="1296"/>
      <c r="AE1090" s="1296"/>
      <c r="AF1090" s="1296"/>
      <c r="AG1090" s="1296"/>
      <c r="AH1090" s="1296"/>
      <c r="AI1090" s="1296"/>
      <c r="AJ1090" s="1296"/>
      <c r="AK1090" s="1296"/>
      <c r="AL1090" s="1296"/>
      <c r="AM1090" s="1296"/>
      <c r="AN1090" s="1296"/>
      <c r="AO1090" s="1296"/>
      <c r="AP1090" s="1296"/>
      <c r="AQ1090" s="1296"/>
      <c r="AR1090" s="1296"/>
      <c r="AS1090" s="14"/>
    </row>
    <row r="1091" spans="1:45" ht="12.95" customHeight="1">
      <c r="A1091" s="1"/>
      <c r="B1091" s="1"/>
      <c r="C1091" s="1339"/>
      <c r="D1091" s="1339"/>
      <c r="E1091" s="1296"/>
      <c r="F1091" s="1296"/>
      <c r="G1091" s="1296"/>
      <c r="H1091" s="1296"/>
      <c r="I1091" s="1296"/>
      <c r="J1091" s="1296"/>
      <c r="K1091" s="1296"/>
      <c r="L1091" s="1296"/>
      <c r="M1091" s="1296"/>
      <c r="N1091" s="1296"/>
      <c r="O1091" s="1296"/>
      <c r="P1091" s="1296"/>
      <c r="Q1091" s="1296"/>
      <c r="R1091" s="1296"/>
      <c r="S1091" s="1296"/>
      <c r="T1091" s="1296"/>
      <c r="U1091" s="1296"/>
      <c r="V1091" s="1296"/>
      <c r="W1091" s="1296"/>
      <c r="X1091" s="1296"/>
      <c r="Y1091" s="1296"/>
      <c r="Z1091" s="1296"/>
      <c r="AA1091" s="1296"/>
      <c r="AB1091" s="1296"/>
      <c r="AC1091" s="1296"/>
      <c r="AD1091" s="1296"/>
      <c r="AE1091" s="1296"/>
      <c r="AF1091" s="1296"/>
      <c r="AG1091" s="1296"/>
      <c r="AH1091" s="1296"/>
      <c r="AI1091" s="1296"/>
      <c r="AJ1091" s="1296"/>
      <c r="AK1091" s="1296"/>
      <c r="AL1091" s="1296"/>
      <c r="AM1091" s="1296"/>
      <c r="AN1091" s="1296"/>
      <c r="AO1091" s="1296"/>
      <c r="AP1091" s="1296"/>
      <c r="AQ1091" s="1296"/>
      <c r="AR1091" s="1296"/>
      <c r="AS1091" s="14"/>
    </row>
    <row r="1092" spans="1:45" ht="12.95" customHeight="1">
      <c r="A1092" s="1"/>
      <c r="B1092" s="1"/>
      <c r="C1092" s="1339"/>
      <c r="D1092" s="1339"/>
      <c r="E1092" s="454"/>
      <c r="F1092" s="454"/>
      <c r="G1092" s="454"/>
      <c r="H1092" s="454"/>
      <c r="I1092" s="454"/>
      <c r="J1092" s="454"/>
      <c r="K1092" s="454"/>
      <c r="L1092" s="454"/>
      <c r="M1092" s="454"/>
      <c r="N1092" s="454"/>
      <c r="O1092" s="454"/>
      <c r="P1092" s="454"/>
      <c r="Q1092" s="454"/>
      <c r="R1092" s="454"/>
      <c r="S1092" s="454"/>
      <c r="T1092" s="454"/>
      <c r="U1092" s="454"/>
      <c r="V1092" s="454"/>
      <c r="W1092" s="454"/>
      <c r="X1092" s="454"/>
      <c r="Y1092" s="454"/>
      <c r="Z1092" s="454"/>
      <c r="AA1092" s="454"/>
      <c r="AB1092" s="454"/>
      <c r="AC1092" s="454"/>
      <c r="AD1092" s="454"/>
      <c r="AE1092" s="454"/>
      <c r="AF1092" s="454"/>
      <c r="AG1092" s="454"/>
      <c r="AH1092" s="454"/>
      <c r="AI1092" s="454"/>
      <c r="AJ1092" s="454"/>
      <c r="AK1092" s="454"/>
    </row>
    <row r="1093" spans="1:45" ht="12.95" customHeight="1">
      <c r="A1093" s="35"/>
      <c r="B1093" s="25"/>
      <c r="C1093" s="1339"/>
      <c r="D1093" s="1339"/>
      <c r="E1093" s="454"/>
      <c r="F1093" s="454"/>
      <c r="G1093" s="454"/>
      <c r="H1093" s="454"/>
      <c r="I1093" s="454"/>
      <c r="J1093" s="454"/>
      <c r="K1093" s="454"/>
      <c r="L1093" s="454"/>
      <c r="M1093" s="454"/>
      <c r="N1093" s="454"/>
      <c r="O1093" s="454"/>
      <c r="P1093" s="454"/>
      <c r="Q1093" s="454"/>
      <c r="R1093" s="454"/>
      <c r="S1093" s="454"/>
      <c r="T1093" s="454"/>
      <c r="U1093" s="454"/>
      <c r="V1093" s="454"/>
      <c r="W1093" s="454"/>
      <c r="X1093" s="454"/>
      <c r="Y1093" s="454"/>
      <c r="Z1093" s="454"/>
      <c r="AA1093" s="454"/>
      <c r="AB1093" s="454"/>
      <c r="AC1093" s="454"/>
      <c r="AD1093" s="454"/>
      <c r="AE1093" s="454"/>
      <c r="AF1093" s="454"/>
      <c r="AG1093" s="454"/>
      <c r="AH1093" s="454"/>
      <c r="AI1093" s="454"/>
      <c r="AJ1093" s="454"/>
      <c r="AK1093" s="454"/>
    </row>
    <row r="1094" spans="1:45" ht="12.95" customHeight="1">
      <c r="A1094" s="1336" t="s">
        <v>592</v>
      </c>
      <c r="B1094" s="1336"/>
      <c r="C1094" s="1339">
        <v>8</v>
      </c>
      <c r="D1094" s="1339"/>
      <c r="E1094" s="1296" t="s">
        <v>1074</v>
      </c>
      <c r="F1094" s="1296"/>
      <c r="G1094" s="1296"/>
      <c r="H1094" s="1296"/>
      <c r="I1094" s="1296"/>
      <c r="J1094" s="1296"/>
      <c r="K1094" s="1296"/>
      <c r="L1094" s="1296"/>
      <c r="M1094" s="1296"/>
      <c r="N1094" s="1296"/>
      <c r="O1094" s="1296"/>
      <c r="P1094" s="1296"/>
      <c r="Q1094" s="1296"/>
      <c r="R1094" s="1296"/>
      <c r="S1094" s="1296"/>
      <c r="T1094" s="1296"/>
      <c r="U1094" s="1296"/>
      <c r="V1094" s="1296"/>
      <c r="W1094" s="1296"/>
      <c r="X1094" s="1296"/>
      <c r="Y1094" s="1296"/>
      <c r="Z1094" s="1296"/>
      <c r="AA1094" s="1296"/>
      <c r="AB1094" s="1296"/>
      <c r="AC1094" s="1296"/>
      <c r="AD1094" s="1296"/>
      <c r="AE1094" s="1296"/>
      <c r="AF1094" s="1296"/>
      <c r="AG1094" s="1296"/>
      <c r="AH1094" s="1296"/>
      <c r="AI1094" s="1296"/>
      <c r="AJ1094" s="1296"/>
      <c r="AK1094" s="1296"/>
      <c r="AL1094" s="1296"/>
      <c r="AM1094" s="1296"/>
      <c r="AN1094" s="1296"/>
      <c r="AO1094" s="1296"/>
      <c r="AP1094" s="1296"/>
      <c r="AQ1094" s="1296"/>
      <c r="AR1094" s="1296"/>
    </row>
    <row r="1095" spans="1:45" ht="12.95" customHeight="1">
      <c r="A1095" s="35"/>
      <c r="B1095" s="25"/>
      <c r="C1095" s="1339"/>
      <c r="D1095" s="1339"/>
      <c r="E1095" s="1296"/>
      <c r="F1095" s="1296"/>
      <c r="G1095" s="1296"/>
      <c r="H1095" s="1296"/>
      <c r="I1095" s="1296"/>
      <c r="J1095" s="1296"/>
      <c r="K1095" s="1296"/>
      <c r="L1095" s="1296"/>
      <c r="M1095" s="1296"/>
      <c r="N1095" s="1296"/>
      <c r="O1095" s="1296"/>
      <c r="P1095" s="1296"/>
      <c r="Q1095" s="1296"/>
      <c r="R1095" s="1296"/>
      <c r="S1095" s="1296"/>
      <c r="T1095" s="1296"/>
      <c r="U1095" s="1296"/>
      <c r="V1095" s="1296"/>
      <c r="W1095" s="1296"/>
      <c r="X1095" s="1296"/>
      <c r="Y1095" s="1296"/>
      <c r="Z1095" s="1296"/>
      <c r="AA1095" s="1296"/>
      <c r="AB1095" s="1296"/>
      <c r="AC1095" s="1296"/>
      <c r="AD1095" s="1296"/>
      <c r="AE1095" s="1296"/>
      <c r="AF1095" s="1296"/>
      <c r="AG1095" s="1296"/>
      <c r="AH1095" s="1296"/>
      <c r="AI1095" s="1296"/>
      <c r="AJ1095" s="1296"/>
      <c r="AK1095" s="1296"/>
      <c r="AL1095" s="1296"/>
      <c r="AM1095" s="1296"/>
      <c r="AN1095" s="1296"/>
      <c r="AO1095" s="1296"/>
      <c r="AP1095" s="1296"/>
      <c r="AQ1095" s="1296"/>
      <c r="AR1095" s="1296"/>
    </row>
    <row r="1096" spans="1:45" ht="12.95" customHeight="1">
      <c r="A1096" s="35"/>
      <c r="B1096" s="25"/>
      <c r="C1096" s="1339"/>
      <c r="D1096" s="1339"/>
      <c r="E1096" s="454"/>
      <c r="F1096" s="454"/>
      <c r="G1096" s="454"/>
      <c r="H1096" s="454"/>
      <c r="I1096" s="454"/>
      <c r="J1096" s="454"/>
      <c r="K1096" s="454"/>
      <c r="L1096" s="454"/>
      <c r="M1096" s="454"/>
      <c r="N1096" s="454"/>
      <c r="O1096" s="454"/>
      <c r="P1096" s="454"/>
      <c r="Q1096" s="454"/>
      <c r="R1096" s="454"/>
      <c r="S1096" s="454"/>
      <c r="T1096" s="454"/>
      <c r="U1096" s="454"/>
      <c r="V1096" s="454"/>
      <c r="W1096" s="454"/>
      <c r="X1096" s="454"/>
      <c r="Y1096" s="454"/>
      <c r="Z1096" s="454"/>
      <c r="AA1096" s="454"/>
      <c r="AB1096" s="454"/>
      <c r="AC1096" s="454"/>
      <c r="AD1096" s="454"/>
      <c r="AE1096" s="454"/>
      <c r="AF1096" s="454"/>
      <c r="AG1096" s="454"/>
      <c r="AH1096" s="454"/>
      <c r="AI1096" s="454"/>
      <c r="AJ1096" s="454"/>
      <c r="AK1096" s="454"/>
    </row>
    <row r="1097" spans="1:45" ht="12.95" customHeight="1">
      <c r="A1097" s="1336" t="s">
        <v>592</v>
      </c>
      <c r="B1097" s="1336"/>
      <c r="C1097" s="1337">
        <v>9</v>
      </c>
      <c r="D1097" s="1337"/>
      <c r="E1097" s="1296" t="s">
        <v>1076</v>
      </c>
      <c r="F1097" s="1296"/>
      <c r="G1097" s="1296"/>
      <c r="H1097" s="1296"/>
      <c r="I1097" s="1296"/>
      <c r="J1097" s="1296"/>
      <c r="K1097" s="1296"/>
      <c r="L1097" s="1296"/>
      <c r="M1097" s="1296"/>
      <c r="N1097" s="1296"/>
      <c r="O1097" s="1296"/>
      <c r="P1097" s="1296"/>
      <c r="Q1097" s="1296"/>
      <c r="R1097" s="1296"/>
      <c r="S1097" s="1296"/>
      <c r="T1097" s="1296"/>
      <c r="U1097" s="1296"/>
      <c r="V1097" s="1296"/>
      <c r="W1097" s="1296"/>
      <c r="X1097" s="1296"/>
      <c r="Y1097" s="1296"/>
      <c r="Z1097" s="1296"/>
      <c r="AA1097" s="1296"/>
      <c r="AB1097" s="1296"/>
      <c r="AC1097" s="1296"/>
      <c r="AD1097" s="1296"/>
      <c r="AE1097" s="1296"/>
      <c r="AF1097" s="1296"/>
      <c r="AG1097" s="1296"/>
      <c r="AH1097" s="1296"/>
      <c r="AI1097" s="1296"/>
      <c r="AJ1097" s="1296"/>
      <c r="AK1097" s="1296"/>
      <c r="AL1097" s="1296"/>
      <c r="AM1097" s="1296"/>
      <c r="AN1097" s="1296"/>
      <c r="AO1097" s="1296"/>
      <c r="AP1097" s="1296"/>
      <c r="AQ1097" s="1296"/>
      <c r="AR1097" s="1296"/>
    </row>
    <row r="1098" spans="1:45" ht="12.95" customHeight="1">
      <c r="A1098" s="1"/>
      <c r="B1098" s="1"/>
      <c r="C1098" s="1337"/>
      <c r="D1098" s="1337"/>
      <c r="E1098" s="1296"/>
      <c r="F1098" s="1296"/>
      <c r="G1098" s="1296"/>
      <c r="H1098" s="1296"/>
      <c r="I1098" s="1296"/>
      <c r="J1098" s="1296"/>
      <c r="K1098" s="1296"/>
      <c r="L1098" s="1296"/>
      <c r="M1098" s="1296"/>
      <c r="N1098" s="1296"/>
      <c r="O1098" s="1296"/>
      <c r="P1098" s="1296"/>
      <c r="Q1098" s="1296"/>
      <c r="R1098" s="1296"/>
      <c r="S1098" s="1296"/>
      <c r="T1098" s="1296"/>
      <c r="U1098" s="1296"/>
      <c r="V1098" s="1296"/>
      <c r="W1098" s="1296"/>
      <c r="X1098" s="1296"/>
      <c r="Y1098" s="1296"/>
      <c r="Z1098" s="1296"/>
      <c r="AA1098" s="1296"/>
      <c r="AB1098" s="1296"/>
      <c r="AC1098" s="1296"/>
      <c r="AD1098" s="1296"/>
      <c r="AE1098" s="1296"/>
      <c r="AF1098" s="1296"/>
      <c r="AG1098" s="1296"/>
      <c r="AH1098" s="1296"/>
      <c r="AI1098" s="1296"/>
      <c r="AJ1098" s="1296"/>
      <c r="AK1098" s="1296"/>
      <c r="AL1098" s="1296"/>
      <c r="AM1098" s="1296"/>
      <c r="AN1098" s="1296"/>
      <c r="AO1098" s="1296"/>
      <c r="AP1098" s="1296"/>
      <c r="AQ1098" s="1296"/>
      <c r="AR1098" s="1296"/>
    </row>
    <row r="1099" spans="1:45" ht="12.95" customHeight="1">
      <c r="A1099" s="35"/>
      <c r="B1099" s="25"/>
      <c r="C1099" s="1337"/>
      <c r="D1099" s="1337"/>
      <c r="E1099" s="454"/>
      <c r="F1099" s="454"/>
      <c r="G1099" s="454"/>
      <c r="H1099" s="454"/>
      <c r="I1099" s="454"/>
      <c r="J1099" s="454"/>
      <c r="K1099" s="454"/>
      <c r="L1099" s="454"/>
      <c r="M1099" s="454"/>
      <c r="N1099" s="454"/>
      <c r="O1099" s="454"/>
      <c r="P1099" s="454"/>
      <c r="Q1099" s="454"/>
      <c r="R1099" s="454"/>
      <c r="S1099" s="454"/>
      <c r="T1099" s="454"/>
      <c r="U1099" s="454"/>
      <c r="V1099" s="454"/>
      <c r="W1099" s="454"/>
      <c r="X1099" s="454"/>
      <c r="Y1099" s="454"/>
      <c r="Z1099" s="454"/>
      <c r="AA1099" s="454"/>
      <c r="AB1099" s="454"/>
      <c r="AC1099" s="454"/>
      <c r="AD1099" s="454"/>
      <c r="AE1099" s="454"/>
      <c r="AF1099" s="454"/>
      <c r="AG1099" s="454"/>
      <c r="AH1099" s="454"/>
      <c r="AI1099" s="454"/>
      <c r="AJ1099" s="454"/>
      <c r="AK1099" s="454"/>
    </row>
    <row r="1100" spans="1:45" ht="12.95" customHeight="1">
      <c r="A1100" s="1336" t="s">
        <v>592</v>
      </c>
      <c r="B1100" s="1336"/>
      <c r="C1100" s="1337">
        <v>10</v>
      </c>
      <c r="D1100" s="1337"/>
      <c r="E1100" s="1338" t="s">
        <v>2241</v>
      </c>
      <c r="F1100" s="1338"/>
      <c r="G1100" s="1338"/>
      <c r="H1100" s="1338"/>
      <c r="I1100" s="1338"/>
      <c r="J1100" s="1338"/>
      <c r="K1100" s="1338"/>
      <c r="L1100" s="1338"/>
      <c r="M1100" s="1338"/>
      <c r="N1100" s="1338"/>
      <c r="O1100" s="1338"/>
      <c r="P1100" s="1338"/>
      <c r="Q1100" s="1338"/>
      <c r="R1100" s="1338"/>
      <c r="S1100" s="1338"/>
      <c r="T1100" s="1338"/>
      <c r="U1100" s="1338"/>
      <c r="V1100" s="1338"/>
      <c r="W1100" s="1338"/>
      <c r="X1100" s="1338"/>
      <c r="Y1100" s="1338"/>
      <c r="Z1100" s="1338"/>
      <c r="AA1100" s="1338"/>
      <c r="AB1100" s="1338"/>
      <c r="AC1100" s="1338"/>
      <c r="AD1100" s="1338"/>
      <c r="AE1100" s="1338"/>
      <c r="AF1100" s="1338"/>
      <c r="AG1100" s="1338"/>
      <c r="AH1100" s="1338"/>
      <c r="AI1100" s="1338"/>
      <c r="AJ1100" s="1338"/>
      <c r="AK1100" s="1338"/>
      <c r="AL1100" s="1338"/>
      <c r="AM1100" s="1338"/>
      <c r="AN1100" s="1338"/>
      <c r="AO1100" s="1338"/>
      <c r="AP1100" s="1338"/>
      <c r="AQ1100" s="1338"/>
      <c r="AR1100" s="1338"/>
    </row>
    <row r="1101" spans="1:45" ht="12.95" customHeight="1">
      <c r="A1101" s="1"/>
      <c r="B1101" s="1"/>
      <c r="C1101" s="199"/>
      <c r="D1101" s="1160"/>
      <c r="E1101" s="1338"/>
      <c r="F1101" s="1338"/>
      <c r="G1101" s="1338"/>
      <c r="H1101" s="1338"/>
      <c r="I1101" s="1338"/>
      <c r="J1101" s="1338"/>
      <c r="K1101" s="1338"/>
      <c r="L1101" s="1338"/>
      <c r="M1101" s="1338"/>
      <c r="N1101" s="1338"/>
      <c r="O1101" s="1338"/>
      <c r="P1101" s="1338"/>
      <c r="Q1101" s="1338"/>
      <c r="R1101" s="1338"/>
      <c r="S1101" s="1338"/>
      <c r="T1101" s="1338"/>
      <c r="U1101" s="1338"/>
      <c r="V1101" s="1338"/>
      <c r="W1101" s="1338"/>
      <c r="X1101" s="1338"/>
      <c r="Y1101" s="1338"/>
      <c r="Z1101" s="1338"/>
      <c r="AA1101" s="1338"/>
      <c r="AB1101" s="1338"/>
      <c r="AC1101" s="1338"/>
      <c r="AD1101" s="1338"/>
      <c r="AE1101" s="1338"/>
      <c r="AF1101" s="1338"/>
      <c r="AG1101" s="1338"/>
      <c r="AH1101" s="1338"/>
      <c r="AI1101" s="1338"/>
      <c r="AJ1101" s="1338"/>
      <c r="AK1101" s="1338"/>
      <c r="AL1101" s="1338"/>
      <c r="AM1101" s="1338"/>
      <c r="AN1101" s="1338"/>
      <c r="AO1101" s="1338"/>
      <c r="AP1101" s="1338"/>
      <c r="AQ1101" s="1338"/>
      <c r="AR1101" s="1338"/>
    </row>
    <row r="1102" spans="1:45" ht="12.95" customHeight="1">
      <c r="A1102" s="1"/>
      <c r="B1102" s="1"/>
      <c r="C1102" s="199"/>
      <c r="D1102" s="1160"/>
      <c r="E1102" s="1160"/>
      <c r="F1102" s="1160"/>
      <c r="G1102" s="1160"/>
      <c r="H1102" s="1160"/>
      <c r="I1102" s="1160"/>
      <c r="J1102" s="1160"/>
      <c r="K1102" s="1160"/>
      <c r="L1102" s="1160"/>
      <c r="M1102" s="1160"/>
      <c r="N1102" s="1160"/>
      <c r="O1102" s="1160"/>
      <c r="P1102" s="1160"/>
      <c r="Q1102" s="1160"/>
      <c r="R1102" s="1160"/>
      <c r="S1102" s="1160"/>
      <c r="T1102" s="1160"/>
      <c r="U1102" s="1160"/>
      <c r="V1102" s="1160"/>
      <c r="W1102" s="1160"/>
      <c r="X1102" s="1160"/>
      <c r="Y1102" s="1160"/>
      <c r="Z1102" s="1160"/>
      <c r="AA1102" s="1160"/>
      <c r="AB1102" s="1160"/>
      <c r="AC1102" s="1160"/>
      <c r="AD1102" s="1160"/>
      <c r="AE1102" s="1160"/>
      <c r="AF1102" s="1160"/>
      <c r="AG1102" s="1160"/>
      <c r="AH1102" s="1160"/>
      <c r="AI1102" s="1160"/>
      <c r="AJ1102" s="1160"/>
      <c r="AK1102" s="1160"/>
    </row>
    <row r="1103" spans="1:45" ht="12.95" customHeight="1">
      <c r="A1103" s="1336" t="s">
        <v>592</v>
      </c>
      <c r="B1103" s="1336"/>
      <c r="C1103" s="1337">
        <v>11</v>
      </c>
      <c r="D1103" s="1337"/>
      <c r="E1103" s="1338" t="s">
        <v>2243</v>
      </c>
      <c r="F1103" s="1338"/>
      <c r="G1103" s="1338"/>
      <c r="H1103" s="1338"/>
      <c r="I1103" s="1338"/>
      <c r="J1103" s="1338"/>
      <c r="K1103" s="1338"/>
      <c r="L1103" s="1338"/>
      <c r="M1103" s="1338"/>
      <c r="N1103" s="1338"/>
      <c r="O1103" s="1338"/>
      <c r="P1103" s="1338"/>
      <c r="Q1103" s="1338"/>
      <c r="R1103" s="1338"/>
      <c r="S1103" s="1338"/>
      <c r="T1103" s="1338"/>
      <c r="U1103" s="1338"/>
      <c r="V1103" s="1338"/>
      <c r="W1103" s="1338"/>
      <c r="X1103" s="1338"/>
      <c r="Y1103" s="1338"/>
      <c r="Z1103" s="1338"/>
      <c r="AA1103" s="1338"/>
      <c r="AB1103" s="1338"/>
      <c r="AC1103" s="1338"/>
      <c r="AD1103" s="1338"/>
      <c r="AE1103" s="1338"/>
      <c r="AF1103" s="1338"/>
      <c r="AG1103" s="1338"/>
      <c r="AH1103" s="1338"/>
      <c r="AI1103" s="1338"/>
      <c r="AJ1103" s="1338"/>
      <c r="AK1103" s="1338"/>
      <c r="AL1103" s="1338"/>
      <c r="AM1103" s="1338"/>
      <c r="AN1103" s="1338"/>
      <c r="AO1103" s="1338"/>
      <c r="AP1103" s="1338"/>
      <c r="AQ1103" s="1338"/>
      <c r="AR1103" s="1338"/>
    </row>
    <row r="1104" spans="1:45" ht="12.95" customHeight="1">
      <c r="A1104" s="1"/>
      <c r="B1104" s="1"/>
      <c r="C1104" s="199"/>
      <c r="D1104" s="1160"/>
      <c r="E1104" s="1338"/>
      <c r="F1104" s="1338"/>
      <c r="G1104" s="1338"/>
      <c r="H1104" s="1338"/>
      <c r="I1104" s="1338"/>
      <c r="J1104" s="1338"/>
      <c r="K1104" s="1338"/>
      <c r="L1104" s="1338"/>
      <c r="M1104" s="1338"/>
      <c r="N1104" s="1338"/>
      <c r="O1104" s="1338"/>
      <c r="P1104" s="1338"/>
      <c r="Q1104" s="1338"/>
      <c r="R1104" s="1338"/>
      <c r="S1104" s="1338"/>
      <c r="T1104" s="1338"/>
      <c r="U1104" s="1338"/>
      <c r="V1104" s="1338"/>
      <c r="W1104" s="1338"/>
      <c r="X1104" s="1338"/>
      <c r="Y1104" s="1338"/>
      <c r="Z1104" s="1338"/>
      <c r="AA1104" s="1338"/>
      <c r="AB1104" s="1338"/>
      <c r="AC1104" s="1338"/>
      <c r="AD1104" s="1338"/>
      <c r="AE1104" s="1338"/>
      <c r="AF1104" s="1338"/>
      <c r="AG1104" s="1338"/>
      <c r="AH1104" s="1338"/>
      <c r="AI1104" s="1338"/>
      <c r="AJ1104" s="1338"/>
      <c r="AK1104" s="1338"/>
      <c r="AL1104" s="1338"/>
      <c r="AM1104" s="1338"/>
      <c r="AN1104" s="1338"/>
      <c r="AO1104" s="1338"/>
      <c r="AP1104" s="1338"/>
      <c r="AQ1104" s="1338"/>
      <c r="AR1104" s="1338"/>
    </row>
    <row r="1105" spans="1:37" ht="12.95" customHeight="1">
      <c r="A1105" s="1"/>
      <c r="B1105" s="1"/>
      <c r="C1105" s="199"/>
      <c r="D1105" s="1160"/>
      <c r="E1105" s="1160"/>
      <c r="F1105" s="1160"/>
      <c r="G1105" s="1160"/>
      <c r="H1105" s="1160"/>
      <c r="I1105" s="1160"/>
      <c r="J1105" s="1160"/>
      <c r="K1105" s="1160"/>
      <c r="L1105" s="1160"/>
      <c r="M1105" s="1160"/>
      <c r="N1105" s="1160"/>
      <c r="O1105" s="1160"/>
      <c r="P1105" s="1160"/>
      <c r="Q1105" s="1160"/>
      <c r="R1105" s="1160"/>
      <c r="S1105" s="1160"/>
      <c r="T1105" s="1160"/>
      <c r="U1105" s="1160"/>
      <c r="V1105" s="1160"/>
      <c r="W1105" s="1160"/>
      <c r="X1105" s="1160"/>
      <c r="Y1105" s="1160"/>
      <c r="Z1105" s="1160"/>
      <c r="AA1105" s="1160"/>
      <c r="AB1105" s="1160"/>
      <c r="AC1105" s="1160"/>
      <c r="AD1105" s="1160"/>
      <c r="AE1105" s="1160"/>
      <c r="AF1105" s="1160"/>
      <c r="AG1105" s="1160"/>
      <c r="AH1105" s="1160"/>
      <c r="AI1105" s="1160"/>
      <c r="AJ1105" s="1160"/>
      <c r="AK1105" s="1160"/>
    </row>
    <row r="1106" spans="1:37" ht="12.95" hidden="1" customHeight="1">
      <c r="A1106" s="1"/>
      <c r="B1106" s="1"/>
      <c r="C1106" s="199"/>
      <c r="D1106" s="1160"/>
      <c r="E1106" s="1160"/>
      <c r="F1106" s="1160"/>
      <c r="G1106" s="1160"/>
      <c r="H1106" s="1160"/>
      <c r="I1106" s="1160"/>
      <c r="J1106" s="1160"/>
      <c r="K1106" s="1160"/>
      <c r="L1106" s="1160"/>
      <c r="M1106" s="1160"/>
      <c r="N1106" s="1160"/>
      <c r="O1106" s="1160"/>
      <c r="P1106" s="1160"/>
      <c r="Q1106" s="1160"/>
      <c r="R1106" s="1160"/>
      <c r="S1106" s="1160"/>
      <c r="T1106" s="1160"/>
      <c r="U1106" s="1160"/>
      <c r="V1106" s="1160"/>
      <c r="W1106" s="1160"/>
      <c r="X1106" s="1160"/>
      <c r="Y1106" s="1160"/>
      <c r="Z1106" s="1160"/>
      <c r="AA1106" s="1160"/>
      <c r="AB1106" s="1160"/>
      <c r="AC1106" s="1160"/>
      <c r="AD1106" s="1160"/>
      <c r="AE1106" s="1160"/>
      <c r="AF1106" s="1160"/>
      <c r="AG1106" s="1160"/>
      <c r="AH1106" s="1160"/>
      <c r="AI1106" s="1160"/>
      <c r="AJ1106" s="1160"/>
      <c r="AK1106" s="1160"/>
    </row>
    <row r="1107" spans="1:37" ht="12.95" hidden="1" customHeight="1">
      <c r="A1107" s="1"/>
      <c r="B1107" s="1"/>
      <c r="C1107" s="199"/>
      <c r="D1107" s="1160"/>
      <c r="E1107" s="1160"/>
      <c r="F1107" s="1160"/>
      <c r="G1107" s="1160"/>
      <c r="H1107" s="1160"/>
      <c r="I1107" s="1160"/>
      <c r="J1107" s="1160"/>
      <c r="K1107" s="1160"/>
      <c r="L1107" s="1160"/>
      <c r="M1107" s="1160"/>
      <c r="N1107" s="1160"/>
      <c r="O1107" s="1160"/>
      <c r="P1107" s="1160"/>
      <c r="Q1107" s="1160"/>
      <c r="R1107" s="1160"/>
      <c r="S1107" s="1160"/>
      <c r="T1107" s="1160"/>
      <c r="U1107" s="1160"/>
      <c r="V1107" s="1160"/>
      <c r="W1107" s="1160"/>
      <c r="X1107" s="1160"/>
      <c r="Y1107" s="1160"/>
      <c r="Z1107" s="1160"/>
      <c r="AA1107" s="1160"/>
      <c r="AB1107" s="1160"/>
      <c r="AC1107" s="1160"/>
      <c r="AD1107" s="1160"/>
      <c r="AE1107" s="1160"/>
      <c r="AF1107" s="1160"/>
      <c r="AG1107" s="1160"/>
      <c r="AH1107" s="1160"/>
      <c r="AI1107" s="1160"/>
      <c r="AJ1107" s="1160"/>
      <c r="AK1107" s="1160"/>
    </row>
    <row r="1108" spans="1:37" ht="12.95" hidden="1" customHeight="1">
      <c r="A1108" s="1"/>
      <c r="B1108" s="1"/>
      <c r="C1108" s="199"/>
      <c r="D1108" s="1160"/>
      <c r="E1108" s="1160"/>
      <c r="F1108" s="1160"/>
      <c r="G1108" s="1160"/>
      <c r="H1108" s="1160"/>
      <c r="I1108" s="1160"/>
      <c r="J1108" s="1160"/>
      <c r="K1108" s="1160"/>
      <c r="L1108" s="1160"/>
      <c r="M1108" s="1160"/>
      <c r="N1108" s="1160"/>
      <c r="O1108" s="1160"/>
      <c r="P1108" s="1160"/>
      <c r="Q1108" s="1160"/>
      <c r="R1108" s="1160"/>
      <c r="S1108" s="1160"/>
      <c r="T1108" s="1160"/>
      <c r="U1108" s="1160"/>
      <c r="V1108" s="1160"/>
      <c r="W1108" s="1160"/>
      <c r="X1108" s="1160"/>
      <c r="Y1108" s="1160"/>
      <c r="Z1108" s="1160"/>
      <c r="AA1108" s="1160"/>
      <c r="AB1108" s="1160"/>
      <c r="AC1108" s="1160"/>
      <c r="AD1108" s="1160"/>
      <c r="AE1108" s="1160"/>
      <c r="AF1108" s="1160"/>
      <c r="AG1108" s="1160"/>
      <c r="AH1108" s="1160"/>
      <c r="AI1108" s="1160"/>
      <c r="AJ1108" s="1160"/>
      <c r="AK1108" s="1160"/>
    </row>
    <row r="1109" spans="1:37" ht="12.95" hidden="1" customHeight="1">
      <c r="A1109" s="1"/>
      <c r="B1109" s="1"/>
      <c r="C1109" s="199"/>
      <c r="D1109" s="1160"/>
      <c r="E1109" s="1160"/>
      <c r="F1109" s="1160"/>
      <c r="G1109" s="1160"/>
      <c r="H1109" s="1160"/>
      <c r="I1109" s="1160"/>
      <c r="J1109" s="1160"/>
      <c r="K1109" s="1160"/>
      <c r="L1109" s="1160"/>
      <c r="M1109" s="1160"/>
      <c r="N1109" s="1160"/>
      <c r="O1109" s="1160"/>
      <c r="P1109" s="1160"/>
      <c r="Q1109" s="1160"/>
      <c r="R1109" s="1160"/>
      <c r="S1109" s="1160"/>
      <c r="T1109" s="1160"/>
      <c r="U1109" s="1160"/>
      <c r="V1109" s="1160"/>
      <c r="W1109" s="1160"/>
      <c r="X1109" s="1160"/>
      <c r="Y1109" s="1160"/>
      <c r="Z1109" s="1160"/>
      <c r="AA1109" s="1160"/>
      <c r="AB1109" s="1160"/>
      <c r="AC1109" s="1160"/>
      <c r="AD1109" s="1160"/>
      <c r="AE1109" s="1160"/>
      <c r="AF1109" s="1160"/>
      <c r="AG1109" s="1160"/>
      <c r="AH1109" s="1160"/>
      <c r="AI1109" s="1160"/>
      <c r="AJ1109" s="1160"/>
      <c r="AK1109" s="1160"/>
    </row>
    <row r="1110" spans="1:37" ht="12.95" hidden="1" customHeight="1">
      <c r="A1110" s="1"/>
      <c r="B1110" s="1"/>
      <c r="C1110" s="199"/>
      <c r="D1110" s="1160"/>
      <c r="E1110" s="1160"/>
      <c r="F1110" s="1160"/>
      <c r="G1110" s="1160"/>
      <c r="H1110" s="1160"/>
      <c r="I1110" s="1160"/>
      <c r="J1110" s="1160"/>
      <c r="K1110" s="1160"/>
      <c r="L1110" s="1160"/>
      <c r="M1110" s="1160"/>
      <c r="N1110" s="1160"/>
      <c r="O1110" s="1160"/>
      <c r="P1110" s="1160"/>
      <c r="Q1110" s="1160"/>
      <c r="R1110" s="1160"/>
      <c r="S1110" s="1160"/>
      <c r="T1110" s="1160"/>
      <c r="U1110" s="1160"/>
      <c r="V1110" s="1160"/>
      <c r="W1110" s="1160"/>
      <c r="X1110" s="1160"/>
      <c r="Y1110" s="1160"/>
      <c r="Z1110" s="1160"/>
      <c r="AA1110" s="1160"/>
      <c r="AB1110" s="1160"/>
      <c r="AC1110" s="1160"/>
      <c r="AD1110" s="1160"/>
      <c r="AE1110" s="1160"/>
      <c r="AF1110" s="1160"/>
      <c r="AG1110" s="1160"/>
      <c r="AH1110" s="1160"/>
      <c r="AI1110" s="1160"/>
      <c r="AJ1110" s="1160"/>
      <c r="AK1110" s="1160"/>
    </row>
    <row r="1111" spans="1:37" ht="12.95" hidden="1" customHeight="1">
      <c r="A1111" s="1"/>
      <c r="B1111" s="1"/>
      <c r="C1111" s="199"/>
      <c r="D1111" s="1160"/>
      <c r="E1111" s="1160"/>
      <c r="F1111" s="1160"/>
      <c r="G1111" s="1160"/>
      <c r="H1111" s="1160"/>
      <c r="I1111" s="1160"/>
      <c r="J1111" s="1160"/>
      <c r="K1111" s="1160"/>
      <c r="L1111" s="1160"/>
      <c r="M1111" s="1160"/>
      <c r="N1111" s="1160"/>
      <c r="O1111" s="1160"/>
      <c r="P1111" s="1160"/>
      <c r="Q1111" s="1160"/>
      <c r="R1111" s="1160"/>
      <c r="S1111" s="1160"/>
      <c r="T1111" s="1160"/>
      <c r="U1111" s="1160"/>
      <c r="V1111" s="1160"/>
      <c r="W1111" s="1160"/>
      <c r="X1111" s="1160"/>
      <c r="Y1111" s="1160"/>
      <c r="Z1111" s="1160"/>
      <c r="AA1111" s="1160"/>
      <c r="AB1111" s="1160"/>
      <c r="AC1111" s="1160"/>
      <c r="AD1111" s="1160"/>
      <c r="AE1111" s="1160"/>
      <c r="AF1111" s="1160"/>
      <c r="AG1111" s="1160"/>
      <c r="AH1111" s="1160"/>
      <c r="AI1111" s="1160"/>
      <c r="AJ1111" s="1160"/>
      <c r="AK1111" s="1160"/>
    </row>
    <row r="1112" spans="1:37" ht="12.95" hidden="1" customHeight="1">
      <c r="A1112" s="1"/>
      <c r="B1112" s="1"/>
      <c r="C1112" s="199"/>
      <c r="D1112" s="1160"/>
      <c r="E1112" s="1160"/>
      <c r="F1112" s="1160"/>
      <c r="G1112" s="1160"/>
      <c r="H1112" s="1160"/>
      <c r="I1112" s="1160"/>
      <c r="J1112" s="1160"/>
      <c r="K1112" s="1160"/>
      <c r="L1112" s="1160"/>
      <c r="M1112" s="1160"/>
      <c r="N1112" s="1160"/>
      <c r="O1112" s="1160"/>
      <c r="P1112" s="1160"/>
      <c r="Q1112" s="1160"/>
      <c r="R1112" s="1160"/>
      <c r="S1112" s="1160"/>
      <c r="T1112" s="1160"/>
      <c r="U1112" s="1160"/>
      <c r="V1112" s="1160"/>
      <c r="W1112" s="1160"/>
      <c r="X1112" s="1160"/>
      <c r="Y1112" s="1160"/>
      <c r="Z1112" s="1160"/>
      <c r="AA1112" s="1160"/>
      <c r="AB1112" s="1160"/>
      <c r="AC1112" s="1160"/>
      <c r="AD1112" s="1160"/>
      <c r="AE1112" s="1160"/>
      <c r="AF1112" s="1160"/>
      <c r="AG1112" s="1160"/>
      <c r="AH1112" s="1160"/>
      <c r="AI1112" s="1160"/>
      <c r="AJ1112" s="1160"/>
      <c r="AK1112" s="1160"/>
    </row>
    <row r="1113" spans="1:37" ht="12.95" hidden="1" customHeight="1">
      <c r="A1113" s="1"/>
      <c r="B1113" s="1"/>
      <c r="C1113" s="199"/>
      <c r="D1113" s="1160"/>
      <c r="E1113" s="1160"/>
      <c r="F1113" s="1160"/>
      <c r="G1113" s="1160"/>
      <c r="H1113" s="1160"/>
      <c r="I1113" s="1160"/>
      <c r="J1113" s="1160"/>
      <c r="K1113" s="1160"/>
      <c r="L1113" s="1160"/>
      <c r="M1113" s="1160"/>
      <c r="N1113" s="1160"/>
      <c r="O1113" s="1160"/>
      <c r="P1113" s="1160"/>
      <c r="Q1113" s="1160"/>
      <c r="R1113" s="1160"/>
      <c r="S1113" s="1160"/>
      <c r="T1113" s="1160"/>
      <c r="U1113" s="1160"/>
      <c r="V1113" s="1160"/>
      <c r="W1113" s="1160"/>
      <c r="X1113" s="1160"/>
      <c r="Y1113" s="1160"/>
      <c r="Z1113" s="1160"/>
      <c r="AA1113" s="1160"/>
      <c r="AB1113" s="1160"/>
      <c r="AC1113" s="1160"/>
      <c r="AD1113" s="1160"/>
      <c r="AE1113" s="1160"/>
      <c r="AF1113" s="1160"/>
      <c r="AG1113" s="1160"/>
      <c r="AH1113" s="1160"/>
      <c r="AI1113" s="1160"/>
      <c r="AJ1113" s="1160"/>
      <c r="AK1113" s="1160"/>
    </row>
    <row r="1114" spans="1:37" ht="12.95" hidden="1" customHeight="1">
      <c r="A1114" s="1"/>
      <c r="B1114" s="1"/>
      <c r="C1114" s="199"/>
      <c r="D1114" s="1160"/>
      <c r="E1114" s="1160"/>
      <c r="F1114" s="1160"/>
      <c r="G1114" s="1160"/>
      <c r="H1114" s="1160"/>
      <c r="I1114" s="1160"/>
      <c r="J1114" s="1160"/>
      <c r="K1114" s="1160"/>
      <c r="L1114" s="1160"/>
      <c r="M1114" s="1160"/>
      <c r="N1114" s="1160"/>
      <c r="O1114" s="1160"/>
      <c r="P1114" s="1160"/>
      <c r="Q1114" s="1160"/>
      <c r="R1114" s="1160"/>
      <c r="S1114" s="1160"/>
      <c r="T1114" s="1160"/>
      <c r="U1114" s="1160"/>
      <c r="V1114" s="1160"/>
      <c r="W1114" s="1160"/>
      <c r="X1114" s="1160"/>
      <c r="Y1114" s="1160"/>
      <c r="Z1114" s="1160"/>
      <c r="AA1114" s="1160"/>
      <c r="AB1114" s="1160"/>
      <c r="AC1114" s="1160"/>
      <c r="AD1114" s="1160"/>
      <c r="AE1114" s="1160"/>
      <c r="AF1114" s="1160"/>
      <c r="AG1114" s="1160"/>
      <c r="AH1114" s="1160"/>
      <c r="AI1114" s="1160"/>
      <c r="AJ1114" s="1160"/>
      <c r="AK1114" s="1160"/>
    </row>
    <row r="1115" spans="1:37" ht="12.95" hidden="1" customHeight="1">
      <c r="A1115" s="1"/>
      <c r="B1115" s="1"/>
      <c r="C1115" s="199"/>
      <c r="D1115" s="1160"/>
      <c r="E1115" s="1160"/>
      <c r="F1115" s="1160"/>
      <c r="G1115" s="1160"/>
      <c r="H1115" s="1160"/>
      <c r="I1115" s="1160"/>
      <c r="J1115" s="1160"/>
      <c r="K1115" s="1160"/>
      <c r="L1115" s="1160"/>
      <c r="M1115" s="1160"/>
      <c r="N1115" s="1160"/>
      <c r="O1115" s="1160"/>
      <c r="P1115" s="1160"/>
      <c r="Q1115" s="1160"/>
      <c r="R1115" s="1160"/>
      <c r="S1115" s="1160"/>
      <c r="T1115" s="1160"/>
      <c r="U1115" s="1160"/>
      <c r="V1115" s="1160"/>
      <c r="W1115" s="1160"/>
      <c r="X1115" s="1160"/>
      <c r="Y1115" s="1160"/>
      <c r="Z1115" s="1160"/>
      <c r="AA1115" s="1160"/>
      <c r="AB1115" s="1160"/>
      <c r="AC1115" s="1160"/>
      <c r="AD1115" s="1160"/>
      <c r="AE1115" s="1160"/>
      <c r="AF1115" s="1160"/>
      <c r="AG1115" s="1160"/>
      <c r="AH1115" s="1160"/>
      <c r="AI1115" s="1160"/>
      <c r="AJ1115" s="1160"/>
      <c r="AK1115" s="1160"/>
    </row>
    <row r="1116" spans="1:37" ht="12.95" hidden="1" customHeight="1">
      <c r="A1116" s="1"/>
      <c r="B1116" s="1"/>
      <c r="C1116" s="199"/>
      <c r="D1116" s="1160"/>
      <c r="E1116" s="1160"/>
      <c r="F1116" s="1160"/>
      <c r="G1116" s="1160"/>
      <c r="H1116" s="1160"/>
      <c r="I1116" s="1160"/>
      <c r="J1116" s="1160"/>
      <c r="K1116" s="1160"/>
      <c r="L1116" s="1160"/>
      <c r="M1116" s="1160"/>
      <c r="N1116" s="1160"/>
      <c r="O1116" s="1160"/>
      <c r="P1116" s="1160"/>
      <c r="Q1116" s="1160"/>
      <c r="R1116" s="1160"/>
      <c r="S1116" s="1160"/>
      <c r="T1116" s="1160"/>
      <c r="U1116" s="1160"/>
      <c r="V1116" s="1160"/>
      <c r="W1116" s="1160"/>
      <c r="X1116" s="1160"/>
      <c r="Y1116" s="1160"/>
      <c r="Z1116" s="1160"/>
      <c r="AA1116" s="1160"/>
      <c r="AB1116" s="1160"/>
      <c r="AC1116" s="1160"/>
      <c r="AD1116" s="1160"/>
      <c r="AE1116" s="1160"/>
      <c r="AF1116" s="1160"/>
      <c r="AG1116" s="1160"/>
      <c r="AH1116" s="1160"/>
      <c r="AI1116" s="1160"/>
      <c r="AJ1116" s="1160"/>
      <c r="AK1116" s="1160"/>
    </row>
    <row r="1117" spans="1:37" ht="12.95" hidden="1" customHeight="1">
      <c r="A1117" s="1"/>
      <c r="B1117" s="1"/>
      <c r="C1117" s="199"/>
      <c r="D1117" s="1160"/>
      <c r="E1117" s="1160"/>
      <c r="F1117" s="1160"/>
      <c r="G1117" s="1160"/>
      <c r="H1117" s="1160"/>
      <c r="I1117" s="1160"/>
      <c r="J1117" s="1160"/>
      <c r="K1117" s="1160"/>
      <c r="L1117" s="1160"/>
      <c r="M1117" s="1160"/>
      <c r="N1117" s="1160"/>
      <c r="O1117" s="1160"/>
      <c r="P1117" s="1160"/>
      <c r="Q1117" s="1160"/>
      <c r="R1117" s="1160"/>
      <c r="S1117" s="1160"/>
      <c r="T1117" s="1160"/>
      <c r="U1117" s="1160"/>
      <c r="V1117" s="1160"/>
      <c r="W1117" s="1160"/>
      <c r="X1117" s="1160"/>
      <c r="Y1117" s="1160"/>
      <c r="Z1117" s="1160"/>
      <c r="AA1117" s="1160"/>
      <c r="AB1117" s="1160"/>
      <c r="AC1117" s="1160"/>
      <c r="AD1117" s="1160"/>
      <c r="AE1117" s="1160"/>
      <c r="AF1117" s="1160"/>
      <c r="AG1117" s="1160"/>
      <c r="AH1117" s="1160"/>
      <c r="AI1117" s="1160"/>
      <c r="AJ1117" s="1160"/>
      <c r="AK1117" s="1160"/>
    </row>
    <row r="1118" spans="1:37" ht="12.95" hidden="1" customHeight="1">
      <c r="A1118" s="1"/>
      <c r="B1118" s="1"/>
      <c r="C1118" s="199"/>
      <c r="D1118" s="1160"/>
      <c r="E1118" s="1160"/>
      <c r="F1118" s="1160"/>
      <c r="G1118" s="1160"/>
      <c r="H1118" s="1160"/>
      <c r="I1118" s="1160"/>
      <c r="J1118" s="1160"/>
      <c r="K1118" s="1160"/>
      <c r="L1118" s="1160"/>
      <c r="M1118" s="1160"/>
      <c r="N1118" s="1160"/>
      <c r="O1118" s="1160"/>
      <c r="P1118" s="1160"/>
      <c r="Q1118" s="1160"/>
      <c r="R1118" s="1160"/>
      <c r="S1118" s="1160"/>
      <c r="T1118" s="1160"/>
      <c r="U1118" s="1160"/>
      <c r="V1118" s="1160"/>
      <c r="W1118" s="1160"/>
      <c r="X1118" s="1160"/>
      <c r="Y1118" s="1160"/>
      <c r="Z1118" s="1160"/>
      <c r="AA1118" s="1160"/>
      <c r="AB1118" s="1160"/>
      <c r="AC1118" s="1160"/>
      <c r="AD1118" s="1160"/>
      <c r="AE1118" s="1160"/>
      <c r="AF1118" s="1160"/>
      <c r="AG1118" s="1160"/>
      <c r="AH1118" s="1160"/>
      <c r="AI1118" s="1160"/>
      <c r="AJ1118" s="1160"/>
      <c r="AK1118" s="1160"/>
    </row>
    <row r="1119" spans="1:37" ht="12.95" hidden="1" customHeight="1">
      <c r="A1119" s="1"/>
      <c r="B1119" s="1"/>
      <c r="C1119" s="199"/>
      <c r="D1119" s="1160"/>
      <c r="E1119" s="1160"/>
      <c r="F1119" s="1160"/>
      <c r="G1119" s="1160"/>
      <c r="H1119" s="1160"/>
      <c r="I1119" s="1160"/>
      <c r="J1119" s="1160"/>
      <c r="K1119" s="1160"/>
      <c r="L1119" s="1160"/>
      <c r="M1119" s="1160"/>
      <c r="N1119" s="1160"/>
      <c r="O1119" s="1160"/>
      <c r="P1119" s="1160"/>
      <c r="Q1119" s="1160"/>
      <c r="R1119" s="1160"/>
      <c r="S1119" s="1160"/>
      <c r="T1119" s="1160"/>
      <c r="U1119" s="1160"/>
      <c r="V1119" s="1160"/>
      <c r="W1119" s="1160"/>
      <c r="X1119" s="1160"/>
      <c r="Y1119" s="1160"/>
      <c r="Z1119" s="1160"/>
      <c r="AA1119" s="1160"/>
      <c r="AB1119" s="1160"/>
      <c r="AC1119" s="1160"/>
      <c r="AD1119" s="1160"/>
      <c r="AE1119" s="1160"/>
      <c r="AF1119" s="1160"/>
      <c r="AG1119" s="1160"/>
      <c r="AH1119" s="1160"/>
      <c r="AI1119" s="1160"/>
      <c r="AJ1119" s="1160"/>
      <c r="AK1119" s="1160"/>
    </row>
    <row r="1120" spans="1:37" ht="12.95" hidden="1" customHeight="1">
      <c r="A1120" s="1"/>
      <c r="B1120" s="1"/>
      <c r="C1120" s="199"/>
      <c r="D1120" s="1160"/>
      <c r="E1120" s="1160"/>
      <c r="F1120" s="1160"/>
      <c r="G1120" s="1160"/>
      <c r="H1120" s="1160"/>
      <c r="I1120" s="1160"/>
      <c r="J1120" s="1160"/>
      <c r="K1120" s="1160"/>
      <c r="L1120" s="1160"/>
      <c r="M1120" s="1160"/>
      <c r="N1120" s="1160"/>
      <c r="O1120" s="1160"/>
      <c r="P1120" s="1160"/>
      <c r="Q1120" s="1160"/>
      <c r="R1120" s="1160"/>
      <c r="S1120" s="1160"/>
      <c r="T1120" s="1160"/>
      <c r="U1120" s="1160"/>
      <c r="V1120" s="1160"/>
      <c r="W1120" s="1160"/>
      <c r="X1120" s="1160"/>
      <c r="Y1120" s="1160"/>
      <c r="Z1120" s="1160"/>
      <c r="AA1120" s="1160"/>
      <c r="AB1120" s="1160"/>
      <c r="AC1120" s="1160"/>
      <c r="AD1120" s="1160"/>
      <c r="AE1120" s="1160"/>
      <c r="AF1120" s="1160"/>
      <c r="AG1120" s="1160"/>
      <c r="AH1120" s="1160"/>
      <c r="AI1120" s="1160"/>
      <c r="AJ1120" s="1160"/>
      <c r="AK1120" s="1160"/>
    </row>
    <row r="1121" spans="1:37" ht="12.95" hidden="1" customHeight="1">
      <c r="A1121" s="1"/>
      <c r="B1121" s="1"/>
      <c r="C1121" s="199"/>
      <c r="D1121" s="1160"/>
      <c r="E1121" s="1160"/>
      <c r="F1121" s="1160"/>
      <c r="G1121" s="1160"/>
      <c r="H1121" s="1160"/>
      <c r="I1121" s="1160"/>
      <c r="J1121" s="1160"/>
      <c r="K1121" s="1160"/>
      <c r="L1121" s="1160"/>
      <c r="M1121" s="1160"/>
      <c r="N1121" s="1160"/>
      <c r="O1121" s="1160"/>
      <c r="P1121" s="1160"/>
      <c r="Q1121" s="1160"/>
      <c r="R1121" s="1160"/>
      <c r="S1121" s="1160"/>
      <c r="T1121" s="1160"/>
      <c r="U1121" s="1160"/>
      <c r="V1121" s="1160"/>
      <c r="W1121" s="1160"/>
      <c r="X1121" s="1160"/>
      <c r="Y1121" s="1160"/>
      <c r="Z1121" s="1160"/>
      <c r="AA1121" s="1160"/>
      <c r="AB1121" s="1160"/>
      <c r="AC1121" s="1160"/>
      <c r="AD1121" s="1160"/>
      <c r="AE1121" s="1160"/>
      <c r="AF1121" s="1160"/>
      <c r="AG1121" s="1160"/>
      <c r="AH1121" s="1160"/>
      <c r="AI1121" s="1160"/>
      <c r="AJ1121" s="1160"/>
      <c r="AK1121" s="1160"/>
    </row>
    <row r="1122" spans="1:37" ht="12.95" hidden="1" customHeight="1">
      <c r="A1122" s="1"/>
      <c r="B1122" s="1"/>
      <c r="C1122" s="199"/>
      <c r="D1122" s="1160"/>
      <c r="E1122" s="1160"/>
      <c r="F1122" s="1160"/>
      <c r="G1122" s="1160"/>
      <c r="H1122" s="1160"/>
      <c r="I1122" s="1160"/>
      <c r="J1122" s="1160"/>
      <c r="K1122" s="1160"/>
      <c r="L1122" s="1160"/>
      <c r="M1122" s="1160"/>
      <c r="N1122" s="1160"/>
      <c r="O1122" s="1160"/>
      <c r="P1122" s="1160"/>
      <c r="Q1122" s="1160"/>
      <c r="R1122" s="1160"/>
      <c r="S1122" s="1160"/>
      <c r="T1122" s="1160"/>
      <c r="U1122" s="1160"/>
      <c r="V1122" s="1160"/>
      <c r="W1122" s="1160"/>
      <c r="X1122" s="1160"/>
      <c r="Y1122" s="1160"/>
      <c r="Z1122" s="1160"/>
      <c r="AA1122" s="1160"/>
      <c r="AB1122" s="1160"/>
      <c r="AC1122" s="1160"/>
      <c r="AD1122" s="1160"/>
      <c r="AE1122" s="1160"/>
      <c r="AF1122" s="1160"/>
      <c r="AG1122" s="1160"/>
      <c r="AH1122" s="1160"/>
      <c r="AI1122" s="1160"/>
      <c r="AJ1122" s="1160"/>
      <c r="AK1122" s="1160"/>
    </row>
    <row r="1123" spans="1:37" ht="0" hidden="1" customHeight="1">
      <c r="A1123" s="1"/>
      <c r="B1123" s="1"/>
      <c r="C1123" s="199"/>
      <c r="D1123" s="1160"/>
      <c r="E1123" s="1160"/>
      <c r="F1123" s="1160"/>
      <c r="G1123" s="1160"/>
      <c r="H1123" s="1160"/>
      <c r="I1123" s="1160"/>
      <c r="J1123" s="1160"/>
      <c r="K1123" s="1160"/>
      <c r="L1123" s="1160"/>
      <c r="M1123" s="1160"/>
      <c r="N1123" s="1160"/>
      <c r="O1123" s="1160"/>
      <c r="P1123" s="1160"/>
      <c r="Q1123" s="1160"/>
      <c r="R1123" s="1160"/>
      <c r="S1123" s="1160"/>
      <c r="T1123" s="1160"/>
      <c r="U1123" s="1160"/>
      <c r="V1123" s="1160"/>
      <c r="W1123" s="1160"/>
      <c r="X1123" s="1160"/>
      <c r="Y1123" s="1160"/>
      <c r="Z1123" s="1160"/>
      <c r="AA1123" s="1160"/>
      <c r="AB1123" s="1160"/>
      <c r="AC1123" s="1160"/>
      <c r="AD1123" s="1160"/>
      <c r="AE1123" s="1160"/>
      <c r="AF1123" s="1160"/>
      <c r="AG1123" s="1160"/>
      <c r="AH1123" s="1160"/>
      <c r="AI1123" s="1160"/>
      <c r="AJ1123" s="1160"/>
      <c r="AK1123" s="1160"/>
    </row>
    <row r="1124" spans="1:37" ht="0" hidden="1" customHeight="1">
      <c r="A1124" s="35"/>
      <c r="B1124" s="25"/>
      <c r="C1124" s="199"/>
      <c r="D1124" s="1160"/>
      <c r="E1124" s="1160"/>
      <c r="F1124" s="1160"/>
      <c r="G1124" s="1160"/>
      <c r="H1124" s="1160"/>
      <c r="I1124" s="1160"/>
      <c r="J1124" s="1160"/>
      <c r="K1124" s="1160"/>
      <c r="L1124" s="1160"/>
      <c r="M1124" s="1160"/>
      <c r="N1124" s="1160"/>
      <c r="O1124" s="1160"/>
      <c r="P1124" s="1160"/>
      <c r="Q1124" s="1160"/>
      <c r="R1124" s="1160"/>
      <c r="S1124" s="1160"/>
      <c r="T1124" s="1160"/>
      <c r="U1124" s="1160"/>
      <c r="V1124" s="1160"/>
      <c r="W1124" s="1160"/>
      <c r="X1124" s="1160"/>
      <c r="Y1124" s="1160"/>
      <c r="Z1124" s="1160"/>
      <c r="AA1124" s="1160"/>
      <c r="AB1124" s="1160"/>
      <c r="AC1124" s="1160"/>
      <c r="AD1124" s="1160"/>
      <c r="AE1124" s="1160"/>
      <c r="AF1124" s="1160"/>
      <c r="AG1124" s="1160"/>
      <c r="AH1124" s="1160"/>
      <c r="AI1124" s="1160"/>
      <c r="AJ1124" s="1160"/>
      <c r="AK1124" s="1160"/>
    </row>
    <row r="1125" spans="1:37" ht="0" hidden="1" customHeight="1">
      <c r="A1125" s="1336" t="s">
        <v>592</v>
      </c>
      <c r="B1125" s="1336"/>
      <c r="C1125" s="199">
        <v>9</v>
      </c>
      <c r="D1125" s="1266" t="s">
        <v>1075</v>
      </c>
      <c r="E1125" s="1266"/>
      <c r="F1125" s="1266"/>
      <c r="G1125" s="1266"/>
      <c r="H1125" s="1266"/>
      <c r="I1125" s="1266"/>
      <c r="J1125" s="1266"/>
      <c r="K1125" s="1266"/>
      <c r="L1125" s="1266"/>
      <c r="M1125" s="1266"/>
      <c r="N1125" s="1266"/>
      <c r="O1125" s="1266"/>
      <c r="P1125" s="1266"/>
      <c r="Q1125" s="1266"/>
      <c r="R1125" s="1266"/>
      <c r="S1125" s="1266"/>
      <c r="T1125" s="1266"/>
      <c r="U1125" s="1266"/>
      <c r="V1125" s="1266"/>
      <c r="W1125" s="1266"/>
      <c r="X1125" s="1266"/>
      <c r="Y1125" s="1266"/>
      <c r="Z1125" s="1266"/>
      <c r="AA1125" s="1266"/>
      <c r="AB1125" s="1266"/>
      <c r="AC1125" s="1266"/>
      <c r="AD1125" s="1266"/>
      <c r="AE1125" s="1266"/>
      <c r="AF1125" s="1266"/>
      <c r="AG1125" s="1266"/>
      <c r="AH1125" s="1266"/>
      <c r="AI1125" s="1266"/>
      <c r="AJ1125" s="1266"/>
      <c r="AK1125" s="1266"/>
    </row>
    <row r="1126" spans="1:37" ht="0" hidden="1" customHeight="1">
      <c r="A1126" s="35"/>
      <c r="B1126" s="25"/>
      <c r="C1126" s="199"/>
      <c r="D1126" s="1266"/>
      <c r="E1126" s="1266"/>
      <c r="F1126" s="1266"/>
      <c r="G1126" s="1266"/>
      <c r="H1126" s="1266"/>
      <c r="I1126" s="1266"/>
      <c r="J1126" s="1266"/>
      <c r="K1126" s="1266"/>
      <c r="L1126" s="1266"/>
      <c r="M1126" s="1266"/>
      <c r="N1126" s="1266"/>
      <c r="O1126" s="1266"/>
      <c r="P1126" s="1266"/>
      <c r="Q1126" s="1266"/>
      <c r="R1126" s="1266"/>
      <c r="S1126" s="1266"/>
      <c r="T1126" s="1266"/>
      <c r="U1126" s="1266"/>
      <c r="V1126" s="1266"/>
      <c r="W1126" s="1266"/>
      <c r="X1126" s="1266"/>
      <c r="Y1126" s="1266"/>
      <c r="Z1126" s="1266"/>
      <c r="AA1126" s="1266"/>
      <c r="AB1126" s="1266"/>
      <c r="AC1126" s="1266"/>
      <c r="AD1126" s="1266"/>
      <c r="AE1126" s="1266"/>
      <c r="AF1126" s="1266"/>
      <c r="AG1126" s="1266"/>
      <c r="AH1126" s="1266"/>
      <c r="AI1126" s="1266"/>
      <c r="AJ1126" s="1266"/>
      <c r="AK1126" s="1266"/>
    </row>
    <row r="1127" spans="1:37" ht="0" hidden="1" customHeight="1">
      <c r="D1127" s="1266"/>
      <c r="E1127" s="1266"/>
      <c r="F1127" s="1266"/>
      <c r="G1127" s="1266"/>
      <c r="H1127" s="1266"/>
      <c r="I1127" s="1266"/>
      <c r="J1127" s="1266"/>
      <c r="K1127" s="1266"/>
      <c r="L1127" s="1266"/>
      <c r="M1127" s="1266"/>
      <c r="N1127" s="1266"/>
      <c r="O1127" s="1266"/>
      <c r="P1127" s="1266"/>
      <c r="Q1127" s="1266"/>
      <c r="R1127" s="1266"/>
      <c r="S1127" s="1266"/>
      <c r="T1127" s="1266"/>
      <c r="U1127" s="1266"/>
      <c r="V1127" s="1266"/>
      <c r="W1127" s="1266"/>
      <c r="X1127" s="1266"/>
      <c r="Y1127" s="1266"/>
      <c r="Z1127" s="1266"/>
      <c r="AA1127" s="1266"/>
      <c r="AB1127" s="1266"/>
      <c r="AC1127" s="1266"/>
      <c r="AD1127" s="1266"/>
      <c r="AE1127" s="1266"/>
      <c r="AF1127" s="1266"/>
      <c r="AG1127" s="1266"/>
      <c r="AH1127" s="1266"/>
      <c r="AI1127" s="1266"/>
      <c r="AJ1127" s="1266"/>
      <c r="AK1127" s="1266"/>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76">
    <mergeCell ref="H336:R336"/>
    <mergeCell ref="H335:R335"/>
    <mergeCell ref="H337:R337"/>
    <mergeCell ref="C560:L560"/>
    <mergeCell ref="C559:L559"/>
    <mergeCell ref="C561:L561"/>
    <mergeCell ref="Z586:AK586"/>
    <mergeCell ref="Z587:AK587"/>
    <mergeCell ref="Z588:AK588"/>
    <mergeCell ref="G594:R594"/>
    <mergeCell ref="G595:R595"/>
    <mergeCell ref="G596:R596"/>
    <mergeCell ref="Z589:AE589"/>
    <mergeCell ref="G597:L597"/>
    <mergeCell ref="Z644:AK644"/>
    <mergeCell ref="Z645:AK645"/>
    <mergeCell ref="Z646:AK646"/>
    <mergeCell ref="AH510:AK510"/>
    <mergeCell ref="AA582:AK582"/>
    <mergeCell ref="H573:R573"/>
    <mergeCell ref="B566:AL566"/>
    <mergeCell ref="Z554:AD554"/>
    <mergeCell ref="AH531:AK531"/>
    <mergeCell ref="AH540:AK540"/>
    <mergeCell ref="AC515:AF515"/>
    <mergeCell ref="D472:V472"/>
    <mergeCell ref="W472:Y472"/>
    <mergeCell ref="AE551:AH553"/>
    <mergeCell ref="AI551:AL553"/>
    <mergeCell ref="AH529:AK529"/>
    <mergeCell ref="AH534:AK534"/>
    <mergeCell ref="AC510:AF51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U741:DY741"/>
    <mergeCell ref="DZ741:ED741"/>
    <mergeCell ref="DJ747:DN747"/>
    <mergeCell ref="DO747:DS747"/>
    <mergeCell ref="CP748:CT748"/>
    <mergeCell ref="CU748:CY748"/>
    <mergeCell ref="DU745:DY745"/>
    <mergeCell ref="DZ745:ED745"/>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FT742:FX742"/>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AE555:AH555"/>
    <mergeCell ref="Q555:S555"/>
    <mergeCell ref="W551:Y553"/>
    <mergeCell ref="AE554:AH554"/>
    <mergeCell ref="AH524:AK524"/>
    <mergeCell ref="AC538:AF538"/>
    <mergeCell ref="AC540:AF540"/>
    <mergeCell ref="AH537:AK537"/>
    <mergeCell ref="AC534:AF534"/>
    <mergeCell ref="AH542:AK542"/>
    <mergeCell ref="M551:P553"/>
    <mergeCell ref="AC536:AF536"/>
    <mergeCell ref="DE746:DI746"/>
    <mergeCell ref="AK747:AO747"/>
    <mergeCell ref="AH539:AK539"/>
    <mergeCell ref="AH541:AK541"/>
    <mergeCell ref="AI554:AL554"/>
    <mergeCell ref="AI558:AL558"/>
    <mergeCell ref="Q551:S553"/>
    <mergeCell ref="T551:V553"/>
    <mergeCell ref="M555:P555"/>
    <mergeCell ref="Q557:S557"/>
    <mergeCell ref="Z557:AD557"/>
    <mergeCell ref="C555:L555"/>
    <mergeCell ref="C556:L556"/>
    <mergeCell ref="M556:P556"/>
    <mergeCell ref="AC521:AF521"/>
    <mergeCell ref="AH527:AK527"/>
    <mergeCell ref="AC517:AF517"/>
    <mergeCell ref="AC541:AF541"/>
    <mergeCell ref="W557:Y557"/>
    <mergeCell ref="AC526:AF526"/>
    <mergeCell ref="AE557:AH557"/>
    <mergeCell ref="AH532:AK532"/>
    <mergeCell ref="AC522:AF522"/>
    <mergeCell ref="T554:V554"/>
    <mergeCell ref="AC524:AF524"/>
    <mergeCell ref="M557:P557"/>
    <mergeCell ref="O526:AA526"/>
    <mergeCell ref="Z556:AD556"/>
    <mergeCell ref="AI555:AL555"/>
    <mergeCell ref="T558:V558"/>
    <mergeCell ref="Z551:AD553"/>
    <mergeCell ref="T556:V556"/>
    <mergeCell ref="O535:AA535"/>
    <mergeCell ref="AH523:AK523"/>
    <mergeCell ref="AC529:AF529"/>
    <mergeCell ref="AH530:AK530"/>
    <mergeCell ref="AH518:AK518"/>
    <mergeCell ref="AH514:AK514"/>
    <mergeCell ref="AH500:AK500"/>
    <mergeCell ref="O532:AA532"/>
    <mergeCell ref="B551:L553"/>
    <mergeCell ref="AH505:AK505"/>
    <mergeCell ref="AC504:AF504"/>
    <mergeCell ref="AH538:AK538"/>
    <mergeCell ref="AC501:AF501"/>
    <mergeCell ref="AC527:AF527"/>
    <mergeCell ref="AC535:AF535"/>
    <mergeCell ref="AG379:AH379"/>
    <mergeCell ref="S392:U392"/>
    <mergeCell ref="AG390:AJ390"/>
    <mergeCell ref="Q391:U391"/>
    <mergeCell ref="AG380:AH380"/>
    <mergeCell ref="AG401:AJ401"/>
    <mergeCell ref="E418:G418"/>
    <mergeCell ref="AE425:AF425"/>
    <mergeCell ref="I421:K421"/>
    <mergeCell ref="D444:AF444"/>
    <mergeCell ref="AC520:AF520"/>
    <mergeCell ref="AH536:AK536"/>
    <mergeCell ref="AH528:AK528"/>
    <mergeCell ref="AH501:AK501"/>
    <mergeCell ref="G474:V474"/>
    <mergeCell ref="AH526:AK526"/>
    <mergeCell ref="W469:Y469"/>
    <mergeCell ref="D467:V467"/>
    <mergeCell ref="AG441:AJ441"/>
    <mergeCell ref="AG438:AJ438"/>
    <mergeCell ref="B501:H502"/>
    <mergeCell ref="D449:AF449"/>
    <mergeCell ref="D437:AF437"/>
    <mergeCell ref="D442:AF442"/>
    <mergeCell ref="AF430:AG430"/>
    <mergeCell ref="AG437:AJ437"/>
    <mergeCell ref="J388:U388"/>
    <mergeCell ref="AG449:AJ449"/>
    <mergeCell ref="Z432:AA432"/>
    <mergeCell ref="D468:V468"/>
    <mergeCell ref="AC512:AF512"/>
    <mergeCell ref="B489:P490"/>
    <mergeCell ref="AC506:AF506"/>
    <mergeCell ref="M495:P495"/>
    <mergeCell ref="AC499:AK499"/>
    <mergeCell ref="Q492:AK492"/>
    <mergeCell ref="AD411:AE411"/>
    <mergeCell ref="F427:AH428"/>
    <mergeCell ref="T398:AJ398"/>
    <mergeCell ref="AG440:AJ440"/>
    <mergeCell ref="S401:U401"/>
    <mergeCell ref="Q393:U393"/>
    <mergeCell ref="AM551:AS553"/>
    <mergeCell ref="AH722:AJ722"/>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630:L630"/>
    <mergeCell ref="Q554:S554"/>
    <mergeCell ref="B520:H542"/>
    <mergeCell ref="AH521:AK521"/>
    <mergeCell ref="AC530:AF530"/>
    <mergeCell ref="Z555:AD555"/>
    <mergeCell ref="AC542:AF542"/>
    <mergeCell ref="AC531:AF531"/>
    <mergeCell ref="AC539:AF539"/>
    <mergeCell ref="O520:AA520"/>
    <mergeCell ref="CP797:CT797"/>
    <mergeCell ref="Z647:AE647"/>
    <mergeCell ref="Z655:AE655"/>
    <mergeCell ref="CM748:CN748"/>
    <mergeCell ref="CG749:CH749"/>
    <mergeCell ref="CG724:CH724"/>
    <mergeCell ref="CG730:CH730"/>
    <mergeCell ref="CG728:CH728"/>
    <mergeCell ref="Z652:AK652"/>
    <mergeCell ref="CP747:CT747"/>
    <mergeCell ref="CG748:CH748"/>
    <mergeCell ref="Z653:AK653"/>
    <mergeCell ref="Z654:AK654"/>
    <mergeCell ref="Z634:AB634"/>
    <mergeCell ref="X718:AB718"/>
    <mergeCell ref="AI655:AK655"/>
    <mergeCell ref="AM555:AS555"/>
    <mergeCell ref="AI557:AL557"/>
    <mergeCell ref="CP746:CT746"/>
    <mergeCell ref="AI556:AL556"/>
    <mergeCell ref="X732:AB732"/>
    <mergeCell ref="AK637:AN637"/>
    <mergeCell ref="CG738:CH738"/>
    <mergeCell ref="CK739:CL739"/>
    <mergeCell ref="CP725:CT725"/>
    <mergeCell ref="AC631:AE631"/>
    <mergeCell ref="AM558:AS558"/>
    <mergeCell ref="AM566:AS566"/>
    <mergeCell ref="AM556:AS556"/>
    <mergeCell ref="AO636:AS636"/>
    <mergeCell ref="AM559:AS559"/>
    <mergeCell ref="CP789:CT789"/>
    <mergeCell ref="AF634:AJ634"/>
    <mergeCell ref="W637:Y637"/>
    <mergeCell ref="AG657:AH657"/>
    <mergeCell ref="CM742:CN742"/>
    <mergeCell ref="C635:L635"/>
    <mergeCell ref="CZ775:DD775"/>
    <mergeCell ref="CZ776:DD776"/>
    <mergeCell ref="Z633:AB633"/>
    <mergeCell ref="CZ730:DD730"/>
    <mergeCell ref="AI679:AK679"/>
    <mergeCell ref="Z643:AK643"/>
    <mergeCell ref="CZ717:DD717"/>
    <mergeCell ref="CI722:CJ722"/>
    <mergeCell ref="CG721:CH721"/>
    <mergeCell ref="CK720:CL720"/>
    <mergeCell ref="CG731:CH731"/>
    <mergeCell ref="CP722:CT722"/>
    <mergeCell ref="CP718:CT718"/>
    <mergeCell ref="CI718:CJ718"/>
    <mergeCell ref="CI724:CJ724"/>
    <mergeCell ref="CK752:CL752"/>
    <mergeCell ref="T724:W724"/>
    <mergeCell ref="CU751:CY751"/>
    <mergeCell ref="CZ732:DD732"/>
    <mergeCell ref="G721:J721"/>
    <mergeCell ref="G722:J722"/>
    <mergeCell ref="CU746:CY746"/>
    <mergeCell ref="G652:R652"/>
    <mergeCell ref="G653:R653"/>
    <mergeCell ref="G660:R660"/>
    <mergeCell ref="AI687:AK687"/>
    <mergeCell ref="B736:F736"/>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G654:R654"/>
    <mergeCell ref="G655:L655"/>
    <mergeCell ref="G661:R661"/>
    <mergeCell ref="G662:R662"/>
    <mergeCell ref="C631:L631"/>
    <mergeCell ref="C632:L632"/>
    <mergeCell ref="P687:R687"/>
    <mergeCell ref="R705:T705"/>
    <mergeCell ref="AE694:AF694"/>
    <mergeCell ref="A709:AT711"/>
    <mergeCell ref="W558:Y558"/>
    <mergeCell ref="AE558:AH558"/>
    <mergeCell ref="C557:L557"/>
    <mergeCell ref="Z570:AK570"/>
    <mergeCell ref="T634:V634"/>
    <mergeCell ref="Q558:S558"/>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G714:J717"/>
    <mergeCell ref="G668:R668"/>
    <mergeCell ref="CU726:CY726"/>
    <mergeCell ref="CZ726:DD726"/>
    <mergeCell ref="CK722:CL722"/>
    <mergeCell ref="AG689:AH689"/>
    <mergeCell ref="CK719:CL719"/>
    <mergeCell ref="CK748:CL748"/>
    <mergeCell ref="X722:AB722"/>
    <mergeCell ref="Z685:AK685"/>
    <mergeCell ref="AE698:AI698"/>
    <mergeCell ref="AC714:AG717"/>
    <mergeCell ref="AC637:AE637"/>
    <mergeCell ref="B733:F733"/>
    <mergeCell ref="B731:F731"/>
    <mergeCell ref="B730:F730"/>
    <mergeCell ref="G683:R683"/>
    <mergeCell ref="N681:O681"/>
    <mergeCell ref="X719:AB719"/>
    <mergeCell ref="G686:R686"/>
    <mergeCell ref="AA331:AF331"/>
    <mergeCell ref="AC370:AF370"/>
    <mergeCell ref="C558:L558"/>
    <mergeCell ref="AC507:AF507"/>
    <mergeCell ref="AE402:AJ402"/>
    <mergeCell ref="AC385:AJ385"/>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N372:Q372"/>
    <mergeCell ref="AC505:AF505"/>
    <mergeCell ref="AH522:AK522"/>
    <mergeCell ref="AG443:AJ443"/>
    <mergeCell ref="AG444:AJ444"/>
    <mergeCell ref="D440:AF440"/>
    <mergeCell ref="AG450:AJ450"/>
    <mergeCell ref="J387:U387"/>
    <mergeCell ref="AA335:AK335"/>
    <mergeCell ref="AC347:AE347"/>
    <mergeCell ref="P343:AE343"/>
    <mergeCell ref="AA340:AF340"/>
    <mergeCell ref="P344:AE344"/>
    <mergeCell ref="AA338:AK338"/>
    <mergeCell ref="P345:AE345"/>
    <mergeCell ref="R412:S412"/>
    <mergeCell ref="Q429:R429"/>
    <mergeCell ref="P339:R339"/>
    <mergeCell ref="AG395:AJ395"/>
    <mergeCell ref="AI392:AJ392"/>
    <mergeCell ref="AG394:AJ394"/>
    <mergeCell ref="E420:AJ420"/>
    <mergeCell ref="V377:W377"/>
    <mergeCell ref="S377:T377"/>
    <mergeCell ref="N363:O363"/>
    <mergeCell ref="AA337:AK337"/>
    <mergeCell ref="AJ356:AK356"/>
    <mergeCell ref="AD377:AE377"/>
    <mergeCell ref="AC371:AF371"/>
    <mergeCell ref="R411:S411"/>
    <mergeCell ref="S402:U402"/>
    <mergeCell ref="AE424:AF424"/>
    <mergeCell ref="N371:Q371"/>
    <mergeCell ref="V382:W382"/>
    <mergeCell ref="J367:K367"/>
    <mergeCell ref="S405:AJ405"/>
    <mergeCell ref="Q394:U394"/>
    <mergeCell ref="AD412:AE412"/>
    <mergeCell ref="H414:AE415"/>
    <mergeCell ref="M257:T257"/>
    <mergeCell ref="M256:AE256"/>
    <mergeCell ref="AF251:AK251"/>
    <mergeCell ref="H299:M299"/>
    <mergeCell ref="AA290:AK290"/>
    <mergeCell ref="AH262:AK262"/>
    <mergeCell ref="T267:X267"/>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N191:AE192"/>
    <mergeCell ref="D211:M211"/>
    <mergeCell ref="AI228:AJ228"/>
    <mergeCell ref="M235:AE235"/>
    <mergeCell ref="W234:X234"/>
    <mergeCell ref="T212:U212"/>
    <mergeCell ref="M243:AE243"/>
    <mergeCell ref="M238:T238"/>
    <mergeCell ref="T197:U197"/>
    <mergeCell ref="P113:S113"/>
    <mergeCell ref="AF243:AK243"/>
    <mergeCell ref="M234:T234"/>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X180:Y180"/>
    <mergeCell ref="AP205:AQ205"/>
    <mergeCell ref="AI229:AJ229"/>
    <mergeCell ref="U175:V175"/>
    <mergeCell ref="I185:AE185"/>
    <mergeCell ref="O153:AH153"/>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U236:W236"/>
    <mergeCell ref="T189:AE189"/>
    <mergeCell ref="R177:S177"/>
    <mergeCell ref="D204:M204"/>
    <mergeCell ref="Y120:AK120"/>
    <mergeCell ref="O160:T160"/>
    <mergeCell ref="AI178:AK178"/>
    <mergeCell ref="Y123:AK123"/>
    <mergeCell ref="M237:AE237"/>
    <mergeCell ref="J173:S173"/>
    <mergeCell ref="O155:AH155"/>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W253:X253"/>
    <mergeCell ref="M252:AE252"/>
    <mergeCell ref="M253:T253"/>
    <mergeCell ref="AC253:AE253"/>
    <mergeCell ref="AH246:AK246"/>
    <mergeCell ref="D270:H270"/>
    <mergeCell ref="X270:AC270"/>
    <mergeCell ref="Z263:AE263"/>
    <mergeCell ref="AA288:AK288"/>
    <mergeCell ref="H287:R287"/>
    <mergeCell ref="M254:AE254"/>
    <mergeCell ref="U255:W255"/>
    <mergeCell ref="M264:AE264"/>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AA311:AK311"/>
    <mergeCell ref="AA306:AK306"/>
    <mergeCell ref="H311:R311"/>
    <mergeCell ref="M244:AE244"/>
    <mergeCell ref="M247:R247"/>
    <mergeCell ref="P299:R299"/>
    <mergeCell ref="H293:R293"/>
    <mergeCell ref="AB276:AD276"/>
    <mergeCell ref="Y278:AD278"/>
    <mergeCell ref="AA295:AK295"/>
    <mergeCell ref="AF259:AK259"/>
    <mergeCell ref="AC261:AE261"/>
    <mergeCell ref="AA249:AK249"/>
    <mergeCell ref="M248:AE248"/>
    <mergeCell ref="M262:AE262"/>
    <mergeCell ref="AA299:AF299"/>
    <mergeCell ref="AI299:AK299"/>
    <mergeCell ref="W261:X261"/>
    <mergeCell ref="U263:W263"/>
    <mergeCell ref="H323:M323"/>
    <mergeCell ref="AA330:AK330"/>
    <mergeCell ref="H324:M324"/>
    <mergeCell ref="AA325:AK325"/>
    <mergeCell ref="H315:M315"/>
    <mergeCell ref="H321:R321"/>
    <mergeCell ref="H322:R322"/>
    <mergeCell ref="AA303:AK303"/>
    <mergeCell ref="H308:M308"/>
    <mergeCell ref="H305:R305"/>
    <mergeCell ref="AA304:AK304"/>
    <mergeCell ref="H314:R314"/>
    <mergeCell ref="H316:M316"/>
    <mergeCell ref="AA322:AK322"/>
    <mergeCell ref="H292:M292"/>
    <mergeCell ref="H309:R309"/>
    <mergeCell ref="AA339:AF339"/>
    <mergeCell ref="H319:R319"/>
    <mergeCell ref="AA316:AF316"/>
    <mergeCell ref="H327:R327"/>
    <mergeCell ref="H306:R306"/>
    <mergeCell ref="AA309:AK309"/>
    <mergeCell ref="AA307:AF307"/>
    <mergeCell ref="AA305:AK305"/>
    <mergeCell ref="AA317:AK317"/>
    <mergeCell ref="AA332:AF332"/>
    <mergeCell ref="AA328:AK328"/>
    <mergeCell ref="AA327:AK327"/>
    <mergeCell ref="H332:M332"/>
    <mergeCell ref="AI315:AK315"/>
    <mergeCell ref="AA312:AK312"/>
    <mergeCell ref="AA329:AK329"/>
    <mergeCell ref="M356:N356"/>
    <mergeCell ref="L276:S276"/>
    <mergeCell ref="L278:Q278"/>
    <mergeCell ref="AA289:AK289"/>
    <mergeCell ref="AH254:AK254"/>
    <mergeCell ref="M259:AE259"/>
    <mergeCell ref="N370:Q370"/>
    <mergeCell ref="H331:M331"/>
    <mergeCell ref="H341:R341"/>
    <mergeCell ref="AA333:AK333"/>
    <mergeCell ref="AA341:AK341"/>
    <mergeCell ref="E368:AH369"/>
    <mergeCell ref="H339:M339"/>
    <mergeCell ref="M358:N358"/>
    <mergeCell ref="AA293:AK293"/>
    <mergeCell ref="L280:AD280"/>
    <mergeCell ref="L275:AD275"/>
    <mergeCell ref="H290:R290"/>
    <mergeCell ref="V276:W276"/>
    <mergeCell ref="AA301:AK301"/>
    <mergeCell ref="AA296:AK296"/>
    <mergeCell ref="H301:R301"/>
    <mergeCell ref="L277:AD277"/>
    <mergeCell ref="H300:M300"/>
    <mergeCell ref="H297:R297"/>
    <mergeCell ref="AA300:AF300"/>
    <mergeCell ref="AA319:AK319"/>
    <mergeCell ref="AA291:AF291"/>
    <mergeCell ref="AI291:AK291"/>
    <mergeCell ref="AA323:AF323"/>
    <mergeCell ref="H320:R320"/>
    <mergeCell ref="H296:R296"/>
    <mergeCell ref="AG377:AH377"/>
    <mergeCell ref="Q389:U389"/>
    <mergeCell ref="AG448:AJ448"/>
    <mergeCell ref="AF418:AH418"/>
    <mergeCell ref="AG439:AJ439"/>
    <mergeCell ref="Z434:AA434"/>
    <mergeCell ref="AA257:AK257"/>
    <mergeCell ref="M260:AE260"/>
    <mergeCell ref="AA265:AK265"/>
    <mergeCell ref="H295:R295"/>
    <mergeCell ref="M261:T261"/>
    <mergeCell ref="H298:R298"/>
    <mergeCell ref="H312:R312"/>
    <mergeCell ref="AI307:AK307"/>
    <mergeCell ref="H304:R304"/>
    <mergeCell ref="H303:R303"/>
    <mergeCell ref="P424:Q424"/>
    <mergeCell ref="P315:R315"/>
    <mergeCell ref="AA298:AK298"/>
    <mergeCell ref="AA292:AF292"/>
    <mergeCell ref="M263:R263"/>
    <mergeCell ref="M265:T265"/>
    <mergeCell ref="AA314:AK314"/>
    <mergeCell ref="AA313:AK313"/>
    <mergeCell ref="AA297:AK297"/>
    <mergeCell ref="H288:R288"/>
    <mergeCell ref="P307:R307"/>
    <mergeCell ref="AA308:AF308"/>
    <mergeCell ref="H313:R313"/>
    <mergeCell ref="L274:AJ274"/>
    <mergeCell ref="H289:R289"/>
    <mergeCell ref="H291:M291"/>
    <mergeCell ref="AH506:AK506"/>
    <mergeCell ref="AH508:AK508"/>
    <mergeCell ref="AC508:AF508"/>
    <mergeCell ref="AH507:AK507"/>
    <mergeCell ref="AC528:AF528"/>
    <mergeCell ref="AH517:AK517"/>
    <mergeCell ref="Q365:AG365"/>
    <mergeCell ref="H340:M340"/>
    <mergeCell ref="AA336:AK336"/>
    <mergeCell ref="H333:R333"/>
    <mergeCell ref="D406:AJ407"/>
    <mergeCell ref="D451:AJ452"/>
    <mergeCell ref="AJ357:AK357"/>
    <mergeCell ref="P349:AE349"/>
    <mergeCell ref="M355:N355"/>
    <mergeCell ref="D439:AF439"/>
    <mergeCell ref="AI397:AJ397"/>
    <mergeCell ref="T399:AJ399"/>
    <mergeCell ref="AI339:AK339"/>
    <mergeCell ref="P348:Z348"/>
    <mergeCell ref="N373:AF374"/>
    <mergeCell ref="P418:R418"/>
    <mergeCell ref="Y364:Z364"/>
    <mergeCell ref="N378:P378"/>
    <mergeCell ref="W418:Y418"/>
    <mergeCell ref="D438:AF438"/>
    <mergeCell ref="D448:AF448"/>
    <mergeCell ref="AC387:AJ387"/>
    <mergeCell ref="V388:AJ388"/>
    <mergeCell ref="D443:AF443"/>
    <mergeCell ref="AJ355:AK355"/>
    <mergeCell ref="AG442:AJ442"/>
    <mergeCell ref="AG445:AJ445"/>
    <mergeCell ref="Q493:AK493"/>
    <mergeCell ref="AC502:AF502"/>
    <mergeCell ref="B514:H516"/>
    <mergeCell ref="B517:H519"/>
    <mergeCell ref="D445:AF445"/>
    <mergeCell ref="Q487:AK487"/>
    <mergeCell ref="Q486:AK486"/>
    <mergeCell ref="AH502:AK502"/>
    <mergeCell ref="AH512:AK512"/>
    <mergeCell ref="AH520:AK520"/>
    <mergeCell ref="AC537:AF537"/>
    <mergeCell ref="W468:Y468"/>
    <mergeCell ref="B503:H508"/>
    <mergeCell ref="D450:AF450"/>
    <mergeCell ref="Q489:R490"/>
    <mergeCell ref="Q488:AK488"/>
    <mergeCell ref="AH535:AK535"/>
    <mergeCell ref="AC532:AF532"/>
    <mergeCell ref="AC514:AF514"/>
    <mergeCell ref="AH519:AK519"/>
    <mergeCell ref="AH509:AK509"/>
    <mergeCell ref="AC518:AF518"/>
    <mergeCell ref="AH504:AK504"/>
    <mergeCell ref="AH515:AK515"/>
    <mergeCell ref="AC516:AF516"/>
    <mergeCell ref="D469:V469"/>
    <mergeCell ref="W473:Y473"/>
    <mergeCell ref="W471:Y471"/>
    <mergeCell ref="D473:V473"/>
    <mergeCell ref="D470:V470"/>
    <mergeCell ref="AC456:AF456"/>
    <mergeCell ref="AF628:AJ628"/>
    <mergeCell ref="N599:O599"/>
    <mergeCell ref="AA590:AK590"/>
    <mergeCell ref="AI589:AK589"/>
    <mergeCell ref="Z596:AK596"/>
    <mergeCell ref="H598:R598"/>
    <mergeCell ref="AG583:AH583"/>
    <mergeCell ref="G588:R588"/>
    <mergeCell ref="Z580:AK580"/>
    <mergeCell ref="Z578:AK578"/>
    <mergeCell ref="M574:R574"/>
    <mergeCell ref="W561:Y561"/>
    <mergeCell ref="W562:Y562"/>
    <mergeCell ref="T559:V559"/>
    <mergeCell ref="C554:L554"/>
    <mergeCell ref="D446:AF446"/>
    <mergeCell ref="D447:AF447"/>
    <mergeCell ref="W466:Y466"/>
    <mergeCell ref="AG446:AJ446"/>
    <mergeCell ref="W467:Y467"/>
    <mergeCell ref="W470:Y470"/>
    <mergeCell ref="D471:V471"/>
    <mergeCell ref="S489:AK490"/>
    <mergeCell ref="O529:AA529"/>
    <mergeCell ref="AH533:AK533"/>
    <mergeCell ref="AH525:AK525"/>
    <mergeCell ref="O523:AA523"/>
    <mergeCell ref="AH513:AK513"/>
    <mergeCell ref="L508:AB508"/>
    <mergeCell ref="AH503:AK503"/>
    <mergeCell ref="AC500:AF500"/>
    <mergeCell ref="AC628:AE628"/>
    <mergeCell ref="C565:L565"/>
    <mergeCell ref="T565:V565"/>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M560:P560"/>
    <mergeCell ref="Q563:S563"/>
    <mergeCell ref="AI565:AL565"/>
    <mergeCell ref="AE562:AH562"/>
    <mergeCell ref="Q562:S562"/>
    <mergeCell ref="G568:R568"/>
    <mergeCell ref="M561:P561"/>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BD904:BE904"/>
    <mergeCell ref="BD906:BF906"/>
    <mergeCell ref="BD905:BF90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O795:S795"/>
    <mergeCell ref="M823:P824"/>
    <mergeCell ref="Y827:AB827"/>
    <mergeCell ref="AG827:AJ827"/>
    <mergeCell ref="U920:Z920"/>
    <mergeCell ref="Z817:AE817"/>
    <mergeCell ref="U823:X824"/>
    <mergeCell ref="Q832:T832"/>
    <mergeCell ref="AG830:AJ830"/>
    <mergeCell ref="U832:X832"/>
    <mergeCell ref="M832:P832"/>
    <mergeCell ref="W866:AC866"/>
    <mergeCell ref="W859:AC859"/>
    <mergeCell ref="W849:AC849"/>
    <mergeCell ref="M877:V877"/>
    <mergeCell ref="W869:AC869"/>
    <mergeCell ref="AC791:AG791"/>
    <mergeCell ref="T796:W796"/>
    <mergeCell ref="AA944:AF944"/>
    <mergeCell ref="M637:P637"/>
    <mergeCell ref="M638:P638"/>
    <mergeCell ref="W638:Y638"/>
    <mergeCell ref="P647:R647"/>
    <mergeCell ref="AI647:AK647"/>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B720:F720"/>
    <mergeCell ref="B722:F722"/>
    <mergeCell ref="AG673:AH673"/>
    <mergeCell ref="B728:F728"/>
    <mergeCell ref="B725:F725"/>
    <mergeCell ref="B724:F724"/>
    <mergeCell ref="B727:F727"/>
    <mergeCell ref="H680:R680"/>
    <mergeCell ref="T720:W720"/>
    <mergeCell ref="K714:N717"/>
    <mergeCell ref="X714:AB717"/>
    <mergeCell ref="Z668:AK668"/>
    <mergeCell ref="G676:R676"/>
    <mergeCell ref="G719:J719"/>
    <mergeCell ref="AK718:AO718"/>
    <mergeCell ref="AI671:AK671"/>
    <mergeCell ref="AH724:AJ724"/>
    <mergeCell ref="J705:O70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G728:J728"/>
    <mergeCell ref="O737:S737"/>
    <mergeCell ref="O738:S738"/>
    <mergeCell ref="T740:W740"/>
    <mergeCell ref="G741:J741"/>
    <mergeCell ref="T739:W739"/>
    <mergeCell ref="K724:N724"/>
    <mergeCell ref="AG681:AH681"/>
    <mergeCell ref="CM724:CN724"/>
    <mergeCell ref="CG741:CH741"/>
    <mergeCell ref="CI741:CJ741"/>
    <mergeCell ref="CK744:CL744"/>
    <mergeCell ref="CM744:CN744"/>
    <mergeCell ref="AK727:AO727"/>
    <mergeCell ref="N689:O689"/>
    <mergeCell ref="G678:R678"/>
    <mergeCell ref="P679:R679"/>
    <mergeCell ref="T732:W732"/>
    <mergeCell ref="T731:W731"/>
    <mergeCell ref="N649:O649"/>
    <mergeCell ref="AH719:AJ719"/>
    <mergeCell ref="CM739:CN739"/>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CI728:CJ728"/>
    <mergeCell ref="T721:W721"/>
    <mergeCell ref="AE695:AI695"/>
    <mergeCell ref="AH737:AJ737"/>
    <mergeCell ref="AH738:AJ738"/>
    <mergeCell ref="AH736:AJ736"/>
    <mergeCell ref="AC739:AG739"/>
    <mergeCell ref="K734:N734"/>
    <mergeCell ref="AH733:AJ733"/>
    <mergeCell ref="AC718:AG718"/>
    <mergeCell ref="W703:AK703"/>
    <mergeCell ref="G739:J739"/>
    <mergeCell ref="T744:W744"/>
    <mergeCell ref="X727:AB727"/>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X728:AB728"/>
    <mergeCell ref="O719:S719"/>
    <mergeCell ref="AO640:AS640"/>
    <mergeCell ref="W636:Y636"/>
    <mergeCell ref="CI717:CJ717"/>
    <mergeCell ref="AA680:AK680"/>
    <mergeCell ref="Q638:S638"/>
    <mergeCell ref="H648:R648"/>
    <mergeCell ref="M636:P636"/>
    <mergeCell ref="AA664:AK664"/>
    <mergeCell ref="T635:V635"/>
    <mergeCell ref="T636:V6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N657:O657"/>
    <mergeCell ref="G663:L663"/>
    <mergeCell ref="W556:Y556"/>
    <mergeCell ref="Q556:S556"/>
    <mergeCell ref="AK624:AN626"/>
    <mergeCell ref="AG599:AH599"/>
    <mergeCell ref="H614:R614"/>
    <mergeCell ref="G613:L613"/>
    <mergeCell ref="Z577:AK577"/>
    <mergeCell ref="AF574:AK574"/>
    <mergeCell ref="Z585:AK585"/>
    <mergeCell ref="G579:R579"/>
    <mergeCell ref="Z594:AK594"/>
    <mergeCell ref="Z610:AK610"/>
    <mergeCell ref="G610:R610"/>
    <mergeCell ref="A617:AT618"/>
    <mergeCell ref="B624:L626"/>
    <mergeCell ref="Z613:AE613"/>
    <mergeCell ref="W624:Y626"/>
    <mergeCell ref="T557:V557"/>
    <mergeCell ref="N583:O583"/>
    <mergeCell ref="AI560:AL560"/>
    <mergeCell ref="Z559:AD559"/>
    <mergeCell ref="Z562:AD562"/>
    <mergeCell ref="AE560:AH560"/>
    <mergeCell ref="N575:O575"/>
    <mergeCell ref="T562:V562"/>
    <mergeCell ref="T561:V561"/>
    <mergeCell ref="AF624:AJ626"/>
    <mergeCell ref="Z569:AK569"/>
    <mergeCell ref="N607:O607"/>
    <mergeCell ref="G593:R593"/>
    <mergeCell ref="G605:L605"/>
    <mergeCell ref="H606:R606"/>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C629:L629"/>
    <mergeCell ref="T629:V629"/>
    <mergeCell ref="M559:P559"/>
    <mergeCell ref="C564:L564"/>
    <mergeCell ref="M564:P564"/>
    <mergeCell ref="W554:Y554"/>
    <mergeCell ref="W555:Y555"/>
    <mergeCell ref="Z558:AD558"/>
    <mergeCell ref="M562:P562"/>
    <mergeCell ref="M563:P563"/>
    <mergeCell ref="AI561:AL561"/>
    <mergeCell ref="Q564:S564"/>
    <mergeCell ref="AE561:AH561"/>
    <mergeCell ref="G569:R569"/>
    <mergeCell ref="H582:R582"/>
    <mergeCell ref="Z579:AK579"/>
    <mergeCell ref="P589:R589"/>
    <mergeCell ref="AK630:AN630"/>
    <mergeCell ref="AK631:AN631"/>
    <mergeCell ref="AK632:AN632"/>
    <mergeCell ref="AC624:AE626"/>
    <mergeCell ref="Z631:AB631"/>
    <mergeCell ref="AF632:AJ632"/>
    <mergeCell ref="H590:R590"/>
    <mergeCell ref="AM561:AS561"/>
    <mergeCell ref="AA573:AK573"/>
    <mergeCell ref="T637:V637"/>
    <mergeCell ref="W563:Y563"/>
    <mergeCell ref="Z595:AK595"/>
    <mergeCell ref="G603:R603"/>
    <mergeCell ref="P597:R597"/>
    <mergeCell ref="G602:R602"/>
    <mergeCell ref="W564:Y564"/>
    <mergeCell ref="W565:Y565"/>
    <mergeCell ref="AO632:AS632"/>
    <mergeCell ref="AO631:AS631"/>
    <mergeCell ref="AK627:AN627"/>
    <mergeCell ref="M634:P634"/>
    <mergeCell ref="Q634:S634"/>
    <mergeCell ref="AK636:AN636"/>
    <mergeCell ref="C637:L637"/>
    <mergeCell ref="AC629:AE629"/>
    <mergeCell ref="AF636:AJ636"/>
    <mergeCell ref="W628:Y628"/>
    <mergeCell ref="AI597:AK597"/>
    <mergeCell ref="AC636:AE636"/>
    <mergeCell ref="AC720:AG720"/>
    <mergeCell ref="AK721:AO721"/>
    <mergeCell ref="Z687:AE687"/>
    <mergeCell ref="AO637:AS637"/>
    <mergeCell ref="Q632:S632"/>
    <mergeCell ref="AM562:AS562"/>
    <mergeCell ref="Q624:S626"/>
    <mergeCell ref="G572:L572"/>
    <mergeCell ref="Z581:AE581"/>
    <mergeCell ref="M565:P565"/>
    <mergeCell ref="T563:V563"/>
    <mergeCell ref="Z564:AD564"/>
    <mergeCell ref="Z565:AD565"/>
    <mergeCell ref="Z572:AE572"/>
    <mergeCell ref="AI562:AL562"/>
    <mergeCell ref="G585:R585"/>
    <mergeCell ref="AG575:AH575"/>
    <mergeCell ref="Z568:AK568"/>
    <mergeCell ref="Z571:AK571"/>
    <mergeCell ref="AI564:AL564"/>
    <mergeCell ref="AH718:AJ718"/>
    <mergeCell ref="G679:L679"/>
    <mergeCell ref="G651:R651"/>
    <mergeCell ref="AO633:AS633"/>
    <mergeCell ref="G677:R677"/>
    <mergeCell ref="Z678:AK678"/>
    <mergeCell ref="M627:P627"/>
    <mergeCell ref="M629:P629"/>
    <mergeCell ref="AG607:AH607"/>
    <mergeCell ref="Q630:S630"/>
    <mergeCell ref="G589:L589"/>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O725:S725"/>
    <mergeCell ref="O726:S726"/>
    <mergeCell ref="Z632:AB632"/>
    <mergeCell ref="AF637:AJ637"/>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M565:AS565"/>
    <mergeCell ref="Z676:AK676"/>
    <mergeCell ref="W700:AK700"/>
    <mergeCell ref="Z683:AK683"/>
    <mergeCell ref="AA688:AK688"/>
    <mergeCell ref="AO628:AS628"/>
    <mergeCell ref="AE699:AI699"/>
    <mergeCell ref="DE720:DI720"/>
    <mergeCell ref="DE724:DI724"/>
    <mergeCell ref="AA672:AK672"/>
    <mergeCell ref="Z684:AK684"/>
    <mergeCell ref="DX652:EB652"/>
    <mergeCell ref="EC652:EG652"/>
    <mergeCell ref="DO730:DS730"/>
    <mergeCell ref="DO731:DS731"/>
    <mergeCell ref="DJ728:DN728"/>
    <mergeCell ref="AC719:AG719"/>
    <mergeCell ref="DO729:DS729"/>
    <mergeCell ref="AF633:AJ633"/>
    <mergeCell ref="DJ731:DN731"/>
    <mergeCell ref="DJ729:DN729"/>
    <mergeCell ref="DE719:DI719"/>
    <mergeCell ref="CZ720:DD720"/>
    <mergeCell ref="X721:AB721"/>
    <mergeCell ref="AK714:AO717"/>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DJ723:DN723"/>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EO728:ES728"/>
    <mergeCell ref="ET728:EX728"/>
    <mergeCell ref="T727:W727"/>
    <mergeCell ref="EO720:ES720"/>
    <mergeCell ref="DZ726:ED726"/>
    <mergeCell ref="DU728:DY728"/>
    <mergeCell ref="DU722:DY722"/>
    <mergeCell ref="DO725:DS725"/>
    <mergeCell ref="DO721:DS721"/>
    <mergeCell ref="CP721:CT721"/>
    <mergeCell ref="O722:S722"/>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K730:N730"/>
    <mergeCell ref="DZ731:ED731"/>
    <mergeCell ref="CK736:CL736"/>
    <mergeCell ref="CK735:CL735"/>
    <mergeCell ref="CP732:CT732"/>
    <mergeCell ref="CM729:CN729"/>
    <mergeCell ref="CM723:CN723"/>
    <mergeCell ref="CM725:CN725"/>
    <mergeCell ref="CK730:CL730"/>
    <mergeCell ref="CP731:CT731"/>
    <mergeCell ref="CI729:CJ729"/>
    <mergeCell ref="CP729:CT729"/>
    <mergeCell ref="CU722:CY722"/>
    <mergeCell ref="CZ722:DD722"/>
    <mergeCell ref="CG725:CH725"/>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I949:T949"/>
    <mergeCell ref="U938:Z938"/>
    <mergeCell ref="F936:T936"/>
    <mergeCell ref="AA947:AF947"/>
    <mergeCell ref="Y830:AB830"/>
    <mergeCell ref="U922:Z922"/>
    <mergeCell ref="AA924:AF924"/>
    <mergeCell ref="P945:T945"/>
    <mergeCell ref="W842:AC842"/>
    <mergeCell ref="W847:AC847"/>
    <mergeCell ref="W876:AC876"/>
    <mergeCell ref="M861:V861"/>
    <mergeCell ref="W845:AC845"/>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M968:S968"/>
    <mergeCell ref="F932:T932"/>
    <mergeCell ref="AA939:AF939"/>
    <mergeCell ref="AA940:AF940"/>
    <mergeCell ref="W853:AC853"/>
    <mergeCell ref="M955:S955"/>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K745:N745"/>
    <mergeCell ref="AK748:AO748"/>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T775:W775"/>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B740:F740"/>
    <mergeCell ref="O739:S73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M969:S969"/>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ET731:EX731"/>
    <mergeCell ref="EJ727:EN727"/>
    <mergeCell ref="EO729:ES729"/>
    <mergeCell ref="EO732:ES732"/>
    <mergeCell ref="ET729:EX729"/>
    <mergeCell ref="EO719:ES719"/>
    <mergeCell ref="ET719:EX719"/>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EJ722:EN722"/>
    <mergeCell ref="ET736:EX736"/>
    <mergeCell ref="EE735:EI735"/>
    <mergeCell ref="EJ734:EN734"/>
    <mergeCell ref="EE733:EI733"/>
    <mergeCell ref="ET732:EX732"/>
    <mergeCell ref="ET721:EX721"/>
    <mergeCell ref="EE720:EI720"/>
    <mergeCell ref="DU730:DY730"/>
    <mergeCell ref="EE728:EI728"/>
    <mergeCell ref="EJ728:EN728"/>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DX643:EB643"/>
    <mergeCell ref="O748:S748"/>
    <mergeCell ref="B742:F742"/>
    <mergeCell ref="B743:F743"/>
    <mergeCell ref="G734:J734"/>
    <mergeCell ref="X740:AB740"/>
    <mergeCell ref="AE702:AF702"/>
    <mergeCell ref="O729:S729"/>
    <mergeCell ref="G645:R645"/>
    <mergeCell ref="AI663:AK663"/>
    <mergeCell ref="G659:R659"/>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EE753:EI753"/>
    <mergeCell ref="EO753:ES753"/>
    <mergeCell ref="DJ776:DN776"/>
    <mergeCell ref="DO776:DS776"/>
    <mergeCell ref="DO775:DS775"/>
    <mergeCell ref="DJ753:DN753"/>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R649:EV649"/>
    <mergeCell ref="DZ738:ED738"/>
    <mergeCell ref="EE738:EI738"/>
    <mergeCell ref="EJ738:EN738"/>
    <mergeCell ref="DE735:DI735"/>
    <mergeCell ref="DZ737:ED737"/>
    <mergeCell ref="Z667:AK667"/>
    <mergeCell ref="EO727:ES727"/>
    <mergeCell ref="EJ733:EN733"/>
    <mergeCell ref="DZ729:ED729"/>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EM636:EQ636"/>
    <mergeCell ref="DX637:EB637"/>
    <mergeCell ref="AC633:AE633"/>
    <mergeCell ref="B639:AN639"/>
    <mergeCell ref="B640:AN640"/>
    <mergeCell ref="B719:F719"/>
    <mergeCell ref="V381:W381"/>
    <mergeCell ref="T555:V555"/>
    <mergeCell ref="W559:Y559"/>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EM641:EQ641"/>
    <mergeCell ref="AO627:AS627"/>
    <mergeCell ref="DX640:EB640"/>
    <mergeCell ref="G675:R675"/>
    <mergeCell ref="DZ717:ED717"/>
    <mergeCell ref="AC630:AE630"/>
    <mergeCell ref="Z671:AE671"/>
    <mergeCell ref="AF631:AJ631"/>
    <mergeCell ref="AK633:AN633"/>
    <mergeCell ref="Z629:AB62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E563:AH563"/>
    <mergeCell ref="AM563:AS563"/>
    <mergeCell ref="AO624:AS626"/>
    <mergeCell ref="AG591:AH591"/>
    <mergeCell ref="AE556:AH556"/>
    <mergeCell ref="AE559:AH559"/>
    <mergeCell ref="AI559:AL559"/>
    <mergeCell ref="AC503:AF503"/>
    <mergeCell ref="AC513:AF513"/>
    <mergeCell ref="Z611:AK6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H656:R656"/>
    <mergeCell ref="AC733:AG733"/>
    <mergeCell ref="AG649:AH649"/>
    <mergeCell ref="H688:R688"/>
    <mergeCell ref="G723:J723"/>
    <mergeCell ref="X741:AB741"/>
    <mergeCell ref="P663:R663"/>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Split"/>
      <selection pane="topRight" activeCell="C1" sqref="C1"/>
      <selection pane="bottomLeft" activeCell="A4" sqref="A4"/>
      <selection pane="bottomRight" activeCell="K99" sqref="K99"/>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73" t="s">
        <v>622</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Community Capital (Permanent Loan)</v>
      </c>
      <c r="G2" s="139" t="str">
        <f>Application!B628&amp;Application!C628</f>
        <v>2)LACDA - NPLH</v>
      </c>
      <c r="H2" s="139" t="str">
        <f>Application!B629&amp;Application!C629</f>
        <v>3)LACDA - AHTF (1st &amp; 2nd Tranche)</v>
      </c>
      <c r="I2" s="139" t="str">
        <f>Application!B630&amp;Application!C630</f>
        <v>4)LACDA - Accrued Interest</v>
      </c>
      <c r="J2" s="139" t="str">
        <f>Application!B631&amp;Application!C631</f>
        <v>5)CADI: 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v>
      </c>
      <c r="C4" s="147">
        <v>98</v>
      </c>
      <c r="D4" s="147">
        <v>2</v>
      </c>
      <c r="E4" s="147">
        <f>B4-SUM(F4:K4)</f>
        <v>100</v>
      </c>
      <c r="F4" s="147"/>
      <c r="G4" s="147"/>
      <c r="H4" s="147"/>
      <c r="I4" s="147"/>
      <c r="J4" s="147"/>
      <c r="K4" s="147"/>
      <c r="L4" s="147"/>
      <c r="M4" s="147"/>
      <c r="N4" s="147"/>
      <c r="O4" s="147"/>
      <c r="P4" s="147"/>
      <c r="Q4" s="147"/>
      <c r="R4" s="515">
        <f>SUM(E4:Q4)</f>
        <v>100</v>
      </c>
      <c r="S4" s="148"/>
      <c r="T4" s="148"/>
      <c r="U4" s="143"/>
    </row>
    <row r="5" spans="1:21" s="144" customFormat="1">
      <c r="A5" s="145" t="s">
        <v>28</v>
      </c>
      <c r="B5" s="146">
        <f>SUM(C5+D5)</f>
        <v>0</v>
      </c>
      <c r="C5" s="147"/>
      <c r="D5" s="147"/>
      <c r="E5" s="147">
        <f t="shared" ref="E5:E7" si="0">B5-SUM(F5:K5)</f>
        <v>0</v>
      </c>
      <c r="F5" s="147"/>
      <c r="G5" s="147"/>
      <c r="H5" s="147"/>
      <c r="I5" s="147"/>
      <c r="J5" s="147"/>
      <c r="K5" s="147"/>
      <c r="L5" s="147"/>
      <c r="M5" s="147"/>
      <c r="N5" s="147"/>
      <c r="O5" s="147"/>
      <c r="P5" s="147"/>
      <c r="Q5" s="147"/>
      <c r="R5" s="515">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5">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5">
        <f>SUM(E7:Q7)</f>
        <v>0</v>
      </c>
      <c r="S7" s="148"/>
      <c r="T7" s="148"/>
      <c r="U7" s="143"/>
    </row>
    <row r="8" spans="1:21" s="144" customFormat="1">
      <c r="A8" s="149" t="s">
        <v>594</v>
      </c>
      <c r="B8" s="146">
        <f>SUM(C8:D8)</f>
        <v>100</v>
      </c>
      <c r="C8" s="146">
        <f t="shared" ref="C8:Q8" si="1">SUM(C4:C7)</f>
        <v>98</v>
      </c>
      <c r="D8" s="146">
        <f t="shared" si="1"/>
        <v>2</v>
      </c>
      <c r="E8" s="146">
        <f t="shared" si="1"/>
        <v>100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1">
        <f>SUM(R4:R7)</f>
        <v>100</v>
      </c>
      <c r="S8" s="148"/>
      <c r="T8" s="148"/>
      <c r="U8" s="143"/>
    </row>
    <row r="9" spans="1:21" s="144" customFormat="1">
      <c r="A9" s="145" t="s">
        <v>595</v>
      </c>
      <c r="B9" s="146">
        <f>SUM(C9+D9)</f>
        <v>0</v>
      </c>
      <c r="C9" s="147"/>
      <c r="D9" s="147"/>
      <c r="E9" s="147">
        <f t="shared" ref="E9:E10" si="2">B9-SUM(F9:K9)</f>
        <v>0</v>
      </c>
      <c r="F9" s="147"/>
      <c r="G9" s="147"/>
      <c r="H9" s="147"/>
      <c r="I9" s="147"/>
      <c r="J9" s="147"/>
      <c r="K9" s="147"/>
      <c r="L9" s="147"/>
      <c r="M9" s="147"/>
      <c r="N9" s="147"/>
      <c r="O9" s="147"/>
      <c r="P9" s="147"/>
      <c r="Q9" s="147"/>
      <c r="R9" s="515">
        <f>SUM(E9:Q9)</f>
        <v>0</v>
      </c>
      <c r="S9" s="148"/>
      <c r="T9" s="147"/>
      <c r="U9" s="143"/>
    </row>
    <row r="10" spans="1:21" s="144" customFormat="1">
      <c r="A10" s="145" t="s">
        <v>596</v>
      </c>
      <c r="B10" s="146">
        <f>SUM(C10+D10)</f>
        <v>0</v>
      </c>
      <c r="C10" s="147"/>
      <c r="D10" s="147"/>
      <c r="E10" s="147">
        <f t="shared" si="2"/>
        <v>0</v>
      </c>
      <c r="F10" s="147"/>
      <c r="G10" s="147"/>
      <c r="H10" s="147"/>
      <c r="I10" s="147"/>
      <c r="J10" s="147"/>
      <c r="K10" s="147"/>
      <c r="L10" s="147"/>
      <c r="M10" s="147"/>
      <c r="N10" s="147"/>
      <c r="O10" s="147"/>
      <c r="P10" s="147"/>
      <c r="Q10" s="147"/>
      <c r="R10" s="515">
        <f>SUM(E10:Q10)</f>
        <v>0</v>
      </c>
      <c r="S10" s="147"/>
      <c r="T10" s="147"/>
      <c r="U10" s="143"/>
    </row>
    <row r="11" spans="1:21" s="144" customFormat="1">
      <c r="A11" s="149" t="s">
        <v>597</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1">
        <f>SUM(R9:R10)</f>
        <v>0</v>
      </c>
      <c r="S11" s="148"/>
      <c r="T11" s="150">
        <f>SUM(T9:T10)</f>
        <v>0</v>
      </c>
      <c r="U11" s="143"/>
    </row>
    <row r="12" spans="1:21" s="144" customFormat="1">
      <c r="A12" s="149" t="s">
        <v>84</v>
      </c>
      <c r="B12" s="146">
        <f t="shared" ref="B12:Q12" si="4">SUM(B8+B11)</f>
        <v>100</v>
      </c>
      <c r="C12" s="146">
        <f t="shared" si="4"/>
        <v>98</v>
      </c>
      <c r="D12" s="146">
        <f t="shared" si="4"/>
        <v>2</v>
      </c>
      <c r="E12" s="146">
        <f t="shared" si="4"/>
        <v>100</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1">
        <f>SUM(R8+R11)</f>
        <v>100</v>
      </c>
      <c r="S12" s="148"/>
      <c r="T12" s="148"/>
      <c r="U12" s="143"/>
    </row>
    <row r="13" spans="1:21" s="144" customFormat="1">
      <c r="A13" s="286" t="s">
        <v>903</v>
      </c>
      <c r="B13" s="146">
        <f>SUM(C13+D13)</f>
        <v>65000</v>
      </c>
      <c r="C13" s="147">
        <v>63861</v>
      </c>
      <c r="D13" s="147">
        <v>1139</v>
      </c>
      <c r="E13" s="147">
        <f t="shared" ref="E13:E15" si="5">B13-SUM(F13:K13)</f>
        <v>65000</v>
      </c>
      <c r="F13" s="147"/>
      <c r="G13" s="147"/>
      <c r="H13" s="147"/>
      <c r="I13" s="147"/>
      <c r="J13" s="147"/>
      <c r="K13" s="147"/>
      <c r="L13" s="147"/>
      <c r="M13" s="147"/>
      <c r="N13" s="147"/>
      <c r="O13" s="147"/>
      <c r="P13" s="147"/>
      <c r="Q13" s="147"/>
      <c r="R13" s="515">
        <f>SUM(E13:Q13)</f>
        <v>65000</v>
      </c>
      <c r="S13" s="147">
        <f>C13</f>
        <v>63861</v>
      </c>
      <c r="T13" s="147"/>
      <c r="U13" s="143"/>
    </row>
    <row r="14" spans="1:21" s="144" customFormat="1" ht="24">
      <c r="A14" s="287" t="s">
        <v>1644</v>
      </c>
      <c r="B14" s="146">
        <f>SUM(C14+D14)</f>
        <v>0</v>
      </c>
      <c r="C14" s="147"/>
      <c r="D14" s="147"/>
      <c r="E14" s="147">
        <f t="shared" si="5"/>
        <v>0</v>
      </c>
      <c r="F14" s="147"/>
      <c r="G14" s="147"/>
      <c r="H14" s="147"/>
      <c r="I14" s="147"/>
      <c r="J14" s="147"/>
      <c r="K14" s="147"/>
      <c r="L14" s="147"/>
      <c r="M14" s="147"/>
      <c r="N14" s="147"/>
      <c r="O14" s="147"/>
      <c r="P14" s="147"/>
      <c r="Q14" s="147"/>
      <c r="R14" s="515">
        <f>SUM(E14:Q14)</f>
        <v>0</v>
      </c>
      <c r="S14" s="147"/>
      <c r="T14" s="147"/>
      <c r="U14" s="143"/>
    </row>
    <row r="15" spans="1:21" s="144" customFormat="1">
      <c r="A15" s="287" t="s">
        <v>1162</v>
      </c>
      <c r="B15" s="146">
        <f>SUM(C15+D15)</f>
        <v>0</v>
      </c>
      <c r="C15" s="147"/>
      <c r="D15" s="147"/>
      <c r="E15" s="147">
        <f t="shared" si="5"/>
        <v>0</v>
      </c>
      <c r="F15" s="147"/>
      <c r="G15" s="147"/>
      <c r="H15" s="147"/>
      <c r="I15" s="147"/>
      <c r="J15" s="147"/>
      <c r="K15" s="147"/>
      <c r="L15" s="147"/>
      <c r="M15" s="147"/>
      <c r="N15" s="147"/>
      <c r="O15" s="147"/>
      <c r="P15" s="147"/>
      <c r="Q15" s="147"/>
      <c r="R15" s="515">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B17-SUM(F17:K17)</f>
        <v>0</v>
      </c>
      <c r="F17" s="147"/>
      <c r="G17" s="147"/>
      <c r="H17" s="147"/>
      <c r="I17" s="147"/>
      <c r="J17" s="147"/>
      <c r="K17" s="147"/>
      <c r="L17" s="147"/>
      <c r="M17" s="147"/>
      <c r="N17" s="147"/>
      <c r="O17" s="147"/>
      <c r="P17" s="147"/>
      <c r="Q17" s="147"/>
      <c r="R17" s="515">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5">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5">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5">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5">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5">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5">
        <f t="shared" si="8"/>
        <v>0</v>
      </c>
      <c r="S23" s="147"/>
      <c r="T23" s="147"/>
      <c r="U23" s="143"/>
    </row>
    <row r="24" spans="1:21" s="144" customFormat="1">
      <c r="A24" s="507" t="s">
        <v>1641</v>
      </c>
      <c r="B24" s="146">
        <f t="shared" si="6"/>
        <v>0</v>
      </c>
      <c r="C24" s="147"/>
      <c r="D24" s="147"/>
      <c r="E24" s="147">
        <f t="shared" si="7"/>
        <v>0</v>
      </c>
      <c r="F24" s="147"/>
      <c r="G24" s="147"/>
      <c r="H24" s="147"/>
      <c r="I24" s="147"/>
      <c r="J24" s="147"/>
      <c r="K24" s="147"/>
      <c r="L24" s="147"/>
      <c r="M24" s="147"/>
      <c r="N24" s="147"/>
      <c r="O24" s="147"/>
      <c r="P24" s="147"/>
      <c r="Q24" s="147"/>
      <c r="R24" s="515">
        <f t="shared" si="8"/>
        <v>0</v>
      </c>
      <c r="S24" s="147"/>
      <c r="T24" s="147"/>
      <c r="U24" s="143"/>
    </row>
    <row r="25" spans="1:21" s="144" customFormat="1">
      <c r="A25" s="1148" t="s">
        <v>34</v>
      </c>
      <c r="B25" s="146">
        <f t="shared" si="6"/>
        <v>0</v>
      </c>
      <c r="C25" s="147"/>
      <c r="D25" s="147"/>
      <c r="E25" s="147">
        <f t="shared" si="7"/>
        <v>0</v>
      </c>
      <c r="F25" s="147"/>
      <c r="G25" s="147"/>
      <c r="H25" s="147"/>
      <c r="I25" s="147"/>
      <c r="J25" s="147"/>
      <c r="K25" s="147"/>
      <c r="L25" s="147"/>
      <c r="M25" s="147"/>
      <c r="N25" s="147"/>
      <c r="O25" s="147"/>
      <c r="P25" s="147"/>
      <c r="Q25" s="147"/>
      <c r="R25" s="515">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1">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5">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3791875</v>
      </c>
      <c r="C29" s="147">
        <v>3725440</v>
      </c>
      <c r="D29" s="147">
        <v>66435</v>
      </c>
      <c r="E29" s="147">
        <f t="shared" ref="E29:E35" si="11">B29-SUM(F29:K29)</f>
        <v>3791875</v>
      </c>
      <c r="F29" s="147"/>
      <c r="G29" s="147"/>
      <c r="H29" s="147"/>
      <c r="I29" s="147"/>
      <c r="J29" s="147"/>
      <c r="K29" s="147"/>
      <c r="L29" s="147"/>
      <c r="M29" s="147"/>
      <c r="N29" s="147"/>
      <c r="O29" s="147"/>
      <c r="P29" s="147"/>
      <c r="Q29" s="147"/>
      <c r="R29" s="515">
        <f t="shared" ref="R29:R37" si="12">SUM(E29:Q29)</f>
        <v>3791875</v>
      </c>
      <c r="S29" s="147">
        <f>C29</f>
        <v>3725440</v>
      </c>
      <c r="T29" s="147"/>
      <c r="U29" s="143"/>
    </row>
    <row r="30" spans="1:21" s="144" customFormat="1">
      <c r="A30" s="145" t="s">
        <v>600</v>
      </c>
      <c r="B30" s="146">
        <f t="shared" si="10"/>
        <v>47633981</v>
      </c>
      <c r="C30" s="147">
        <v>46799414</v>
      </c>
      <c r="D30" s="147">
        <v>834567</v>
      </c>
      <c r="E30" s="147">
        <f>B30-SUM(F30:K30)</f>
        <v>3821981</v>
      </c>
      <c r="F30" s="147">
        <f>13812000-F37</f>
        <v>13812000</v>
      </c>
      <c r="G30" s="147">
        <v>10000000</v>
      </c>
      <c r="H30" s="147">
        <v>20000000</v>
      </c>
      <c r="I30" s="147"/>
      <c r="J30" s="147"/>
      <c r="K30" s="147"/>
      <c r="L30" s="147"/>
      <c r="M30" s="147"/>
      <c r="N30" s="147"/>
      <c r="O30" s="147"/>
      <c r="P30" s="147"/>
      <c r="Q30" s="147"/>
      <c r="R30" s="515">
        <f t="shared" si="12"/>
        <v>47633981</v>
      </c>
      <c r="S30" s="147">
        <f t="shared" ref="S30:S37" si="13">C30</f>
        <v>46799414</v>
      </c>
      <c r="T30" s="147"/>
      <c r="U30" s="143"/>
    </row>
    <row r="31" spans="1:21" s="144" customFormat="1">
      <c r="A31" s="145" t="s">
        <v>601</v>
      </c>
      <c r="B31" s="146">
        <f t="shared" si="10"/>
        <v>3040493</v>
      </c>
      <c r="C31" s="147">
        <v>2987222</v>
      </c>
      <c r="D31" s="147">
        <v>53271</v>
      </c>
      <c r="E31" s="147">
        <f t="shared" si="11"/>
        <v>3040493</v>
      </c>
      <c r="F31" s="147"/>
      <c r="G31" s="147"/>
      <c r="H31" s="147"/>
      <c r="I31" s="147"/>
      <c r="J31" s="147"/>
      <c r="K31" s="147"/>
      <c r="L31" s="147"/>
      <c r="M31" s="147"/>
      <c r="N31" s="147"/>
      <c r="O31" s="147"/>
      <c r="P31" s="147"/>
      <c r="Q31" s="147"/>
      <c r="R31" s="515">
        <f t="shared" si="12"/>
        <v>3040493</v>
      </c>
      <c r="S31" s="147">
        <f t="shared" si="13"/>
        <v>2987222</v>
      </c>
      <c r="T31" s="147"/>
      <c r="U31" s="143"/>
    </row>
    <row r="32" spans="1:21" s="144" customFormat="1">
      <c r="A32" s="145" t="s">
        <v>137</v>
      </c>
      <c r="B32" s="146">
        <f t="shared" si="10"/>
        <v>1066804</v>
      </c>
      <c r="C32" s="147">
        <v>1048113</v>
      </c>
      <c r="D32" s="147">
        <v>18691</v>
      </c>
      <c r="E32" s="147">
        <f t="shared" si="11"/>
        <v>1066804</v>
      </c>
      <c r="F32" s="147"/>
      <c r="G32" s="147"/>
      <c r="H32" s="147"/>
      <c r="I32" s="147"/>
      <c r="J32" s="147"/>
      <c r="K32" s="147"/>
      <c r="L32" s="147"/>
      <c r="M32" s="147"/>
      <c r="N32" s="147"/>
      <c r="O32" s="147"/>
      <c r="P32" s="147"/>
      <c r="Q32" s="147"/>
      <c r="R32" s="515">
        <f t="shared" si="12"/>
        <v>1066804</v>
      </c>
      <c r="S32" s="147">
        <f t="shared" si="13"/>
        <v>1048113</v>
      </c>
      <c r="T32" s="147"/>
      <c r="U32" s="143"/>
    </row>
    <row r="33" spans="1:21" s="144" customFormat="1">
      <c r="A33" s="145" t="s">
        <v>138</v>
      </c>
      <c r="B33" s="146">
        <f t="shared" si="10"/>
        <v>3216804</v>
      </c>
      <c r="C33" s="147">
        <v>3160444</v>
      </c>
      <c r="D33" s="147">
        <v>56360</v>
      </c>
      <c r="E33" s="147">
        <f t="shared" si="11"/>
        <v>3216804</v>
      </c>
      <c r="F33" s="147"/>
      <c r="G33" s="147"/>
      <c r="H33" s="147"/>
      <c r="I33" s="147"/>
      <c r="J33" s="147"/>
      <c r="K33" s="147"/>
      <c r="L33" s="147"/>
      <c r="M33" s="147"/>
      <c r="N33" s="147"/>
      <c r="O33" s="147"/>
      <c r="P33" s="147"/>
      <c r="Q33" s="147"/>
      <c r="R33" s="515">
        <f t="shared" si="12"/>
        <v>3216804</v>
      </c>
      <c r="S33" s="147">
        <f t="shared" si="13"/>
        <v>3160444</v>
      </c>
      <c r="T33" s="147"/>
      <c r="U33" s="143"/>
    </row>
    <row r="34" spans="1:21" s="144" customFormat="1">
      <c r="A34" s="145" t="s">
        <v>139</v>
      </c>
      <c r="B34" s="146">
        <f t="shared" si="10"/>
        <v>0</v>
      </c>
      <c r="C34" s="147"/>
      <c r="D34" s="147"/>
      <c r="E34" s="147"/>
      <c r="F34" s="147"/>
      <c r="G34" s="147"/>
      <c r="H34" s="147"/>
      <c r="I34" s="147"/>
      <c r="J34" s="147"/>
      <c r="K34" s="147"/>
      <c r="L34" s="147"/>
      <c r="M34" s="147"/>
      <c r="N34" s="147"/>
      <c r="O34" s="147"/>
      <c r="P34" s="147"/>
      <c r="Q34" s="147"/>
      <c r="R34" s="515">
        <f t="shared" si="12"/>
        <v>0</v>
      </c>
      <c r="S34" s="147">
        <f t="shared" si="13"/>
        <v>0</v>
      </c>
      <c r="T34" s="147"/>
      <c r="U34" s="143"/>
    </row>
    <row r="35" spans="1:21" s="144" customFormat="1">
      <c r="A35" s="145" t="s">
        <v>140</v>
      </c>
      <c r="B35" s="146">
        <f t="shared" si="10"/>
        <v>1972388</v>
      </c>
      <c r="C35" s="147">
        <f>968915*2+1</f>
        <v>1937831</v>
      </c>
      <c r="D35" s="147">
        <v>34557</v>
      </c>
      <c r="E35" s="147">
        <f t="shared" si="11"/>
        <v>1972388</v>
      </c>
      <c r="F35" s="147"/>
      <c r="G35" s="147"/>
      <c r="H35" s="147"/>
      <c r="I35" s="147"/>
      <c r="J35" s="147"/>
      <c r="K35" s="147"/>
      <c r="L35" s="147"/>
      <c r="M35" s="147"/>
      <c r="N35" s="147"/>
      <c r="O35" s="147"/>
      <c r="P35" s="147"/>
      <c r="Q35" s="147"/>
      <c r="R35" s="515">
        <f t="shared" si="12"/>
        <v>1972388</v>
      </c>
      <c r="S35" s="147">
        <f t="shared" si="13"/>
        <v>1937831</v>
      </c>
      <c r="T35" s="147"/>
      <c r="U35" s="143"/>
    </row>
    <row r="36" spans="1:21" s="144" customFormat="1">
      <c r="A36" s="282" t="s">
        <v>1641</v>
      </c>
      <c r="B36" s="146">
        <f t="shared" si="10"/>
        <v>0</v>
      </c>
      <c r="C36" s="147"/>
      <c r="D36" s="147"/>
      <c r="E36" s="147"/>
      <c r="F36" s="147"/>
      <c r="G36" s="147"/>
      <c r="H36" s="147"/>
      <c r="I36" s="147"/>
      <c r="J36" s="147"/>
      <c r="K36" s="147"/>
      <c r="L36" s="147"/>
      <c r="M36" s="147"/>
      <c r="N36" s="147"/>
      <c r="O36" s="147"/>
      <c r="P36" s="147"/>
      <c r="Q36" s="147"/>
      <c r="R36" s="515">
        <f t="shared" si="12"/>
        <v>0</v>
      </c>
      <c r="S36" s="147">
        <f t="shared" si="13"/>
        <v>0</v>
      </c>
      <c r="T36" s="147"/>
      <c r="U36" s="143"/>
    </row>
    <row r="37" spans="1:21" s="144" customFormat="1">
      <c r="A37" s="1148" t="s">
        <v>34</v>
      </c>
      <c r="B37" s="146">
        <f t="shared" si="10"/>
        <v>0</v>
      </c>
      <c r="C37" s="147"/>
      <c r="D37" s="147"/>
      <c r="E37" s="147"/>
      <c r="F37" s="147"/>
      <c r="G37" s="147"/>
      <c r="H37" s="147"/>
      <c r="I37" s="147"/>
      <c r="J37" s="147"/>
      <c r="K37" s="147"/>
      <c r="L37" s="147"/>
      <c r="M37" s="147"/>
      <c r="N37" s="147"/>
      <c r="O37" s="147"/>
      <c r="P37" s="147"/>
      <c r="Q37" s="147"/>
      <c r="R37" s="515">
        <f t="shared" si="12"/>
        <v>0</v>
      </c>
      <c r="S37" s="147">
        <f t="shared" si="13"/>
        <v>0</v>
      </c>
      <c r="T37" s="147"/>
      <c r="U37" s="143"/>
    </row>
    <row r="38" spans="1:21" s="144" customFormat="1">
      <c r="A38" s="149" t="s">
        <v>143</v>
      </c>
      <c r="B38" s="146">
        <f t="shared" si="10"/>
        <v>60722345</v>
      </c>
      <c r="C38" s="146">
        <f>SUM(C29:C37)</f>
        <v>59658464</v>
      </c>
      <c r="D38" s="146">
        <f t="shared" ref="D38:Q38" si="14">SUM(D29:D37)</f>
        <v>1063881</v>
      </c>
      <c r="E38" s="146">
        <f t="shared" si="14"/>
        <v>16910345</v>
      </c>
      <c r="F38" s="146">
        <f t="shared" si="14"/>
        <v>13812000</v>
      </c>
      <c r="G38" s="146">
        <f t="shared" si="14"/>
        <v>10000000</v>
      </c>
      <c r="H38" s="146">
        <f t="shared" si="14"/>
        <v>20000000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41">
        <f>SUM(R29:R37)</f>
        <v>60722345</v>
      </c>
      <c r="S38" s="150">
        <f>SUM(S29:S37)</f>
        <v>59658464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2348350</v>
      </c>
      <c r="C40" s="147">
        <f>2072393+87441+93336+54036</f>
        <v>2307206</v>
      </c>
      <c r="D40" s="147">
        <f>36957+1559+1664+964</f>
        <v>41144</v>
      </c>
      <c r="E40" s="147">
        <f t="shared" ref="E40:E41" si="15">B40-SUM(F40:K40)</f>
        <v>2348350</v>
      </c>
      <c r="F40" s="147"/>
      <c r="G40" s="147"/>
      <c r="H40" s="147"/>
      <c r="I40" s="147"/>
      <c r="J40" s="147"/>
      <c r="K40" s="147"/>
      <c r="L40" s="147"/>
      <c r="M40" s="147"/>
      <c r="N40" s="147"/>
      <c r="O40" s="147"/>
      <c r="P40" s="147"/>
      <c r="Q40" s="147"/>
      <c r="R40" s="515">
        <f>SUM(E40:Q40)</f>
        <v>2348350</v>
      </c>
      <c r="S40" s="147">
        <f>C40</f>
        <v>2307206</v>
      </c>
      <c r="T40" s="147"/>
      <c r="U40" s="143"/>
    </row>
    <row r="41" spans="1:21" s="144" customFormat="1">
      <c r="A41" s="145" t="s">
        <v>146</v>
      </c>
      <c r="B41" s="146">
        <f>SUM(C41+D41)</f>
        <v>82500</v>
      </c>
      <c r="C41" s="147">
        <f>49124+31931</f>
        <v>81055</v>
      </c>
      <c r="D41" s="147">
        <f>876+569</f>
        <v>1445</v>
      </c>
      <c r="E41" s="147">
        <f t="shared" si="15"/>
        <v>82500</v>
      </c>
      <c r="F41" s="147"/>
      <c r="G41" s="147"/>
      <c r="H41" s="147"/>
      <c r="I41" s="147"/>
      <c r="J41" s="147"/>
      <c r="K41" s="147"/>
      <c r="L41" s="147"/>
      <c r="M41" s="147"/>
      <c r="N41" s="147"/>
      <c r="O41" s="147"/>
      <c r="P41" s="147"/>
      <c r="Q41" s="147"/>
      <c r="R41" s="515">
        <f>SUM(E41:Q41)</f>
        <v>82500</v>
      </c>
      <c r="S41" s="147">
        <f>C41</f>
        <v>81055</v>
      </c>
      <c r="T41" s="147"/>
      <c r="U41" s="143"/>
    </row>
    <row r="42" spans="1:21" s="144" customFormat="1">
      <c r="A42" s="149" t="s">
        <v>147</v>
      </c>
      <c r="B42" s="146">
        <f>SUM(C42:D42)</f>
        <v>2430850</v>
      </c>
      <c r="C42" s="146">
        <f>SUM(C39:C41)</f>
        <v>2388261</v>
      </c>
      <c r="D42" s="146">
        <f>SUM(D39:D41)</f>
        <v>42589</v>
      </c>
      <c r="E42" s="146">
        <f t="shared" ref="E42:T42" si="16">SUM(E40:E41)</f>
        <v>2430850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41">
        <f>SUM(R40:R41)</f>
        <v>2430850</v>
      </c>
      <c r="S42" s="150">
        <f t="shared" si="16"/>
        <v>2388261</v>
      </c>
      <c r="T42" s="150">
        <f t="shared" si="16"/>
        <v>0</v>
      </c>
      <c r="U42" s="143"/>
    </row>
    <row r="43" spans="1:21" s="144" customFormat="1">
      <c r="A43" s="149" t="s">
        <v>148</v>
      </c>
      <c r="B43" s="146">
        <f>SUM(C43:D43)</f>
        <v>943334</v>
      </c>
      <c r="C43" s="147">
        <f>190159+181562+325004+68774+33585+58949+34387+34387</f>
        <v>926807</v>
      </c>
      <c r="D43" s="147">
        <f>3391+3238+5796+1226+599+1051+613+613</f>
        <v>16527</v>
      </c>
      <c r="E43" s="147">
        <f>B43-SUM(F43:K43)</f>
        <v>943334</v>
      </c>
      <c r="F43" s="147"/>
      <c r="G43" s="147"/>
      <c r="H43" s="147"/>
      <c r="I43" s="147"/>
      <c r="J43" s="147"/>
      <c r="K43" s="147"/>
      <c r="L43" s="147"/>
      <c r="M43" s="147"/>
      <c r="N43" s="147"/>
      <c r="O43" s="147"/>
      <c r="P43" s="147"/>
      <c r="Q43" s="147"/>
      <c r="R43" s="515">
        <f>SUM(E43:Q43)</f>
        <v>943334</v>
      </c>
      <c r="S43" s="147">
        <f>C43</f>
        <v>926807</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4865262</v>
      </c>
      <c r="C45" s="147">
        <f>3826920+1038342</f>
        <v>4865262</v>
      </c>
      <c r="D45" s="147"/>
      <c r="E45" s="147">
        <f t="shared" ref="E45:E53" si="18">B45-SUM(F45:K45)</f>
        <v>3826920</v>
      </c>
      <c r="F45" s="147"/>
      <c r="G45" s="147"/>
      <c r="H45" s="147"/>
      <c r="I45" s="147">
        <v>1038342</v>
      </c>
      <c r="J45" s="147"/>
      <c r="K45" s="147"/>
      <c r="L45" s="147"/>
      <c r="M45" s="147"/>
      <c r="N45" s="147"/>
      <c r="O45" s="147"/>
      <c r="P45" s="147"/>
      <c r="Q45" s="147"/>
      <c r="R45" s="515">
        <f t="shared" ref="R45:R53" si="19">SUM(E45:Q45)</f>
        <v>4865262</v>
      </c>
      <c r="S45" s="147">
        <f>1398671+727473</f>
        <v>2126144</v>
      </c>
      <c r="T45" s="147"/>
      <c r="U45" s="143"/>
    </row>
    <row r="46" spans="1:21" s="144" customFormat="1">
      <c r="A46" s="145" t="s">
        <v>151</v>
      </c>
      <c r="B46" s="146">
        <f t="shared" si="17"/>
        <v>333653</v>
      </c>
      <c r="C46" s="147">
        <v>333653</v>
      </c>
      <c r="D46" s="147"/>
      <c r="E46" s="147">
        <f t="shared" si="18"/>
        <v>333653</v>
      </c>
      <c r="F46" s="147"/>
      <c r="G46" s="147"/>
      <c r="H46" s="147"/>
      <c r="I46" s="147"/>
      <c r="J46" s="147"/>
      <c r="K46" s="147"/>
      <c r="L46" s="147"/>
      <c r="M46" s="147"/>
      <c r="N46" s="147"/>
      <c r="O46" s="147"/>
      <c r="P46" s="147"/>
      <c r="Q46" s="147"/>
      <c r="R46" s="515">
        <f t="shared" si="19"/>
        <v>333653</v>
      </c>
      <c r="S46" s="147">
        <v>121944</v>
      </c>
      <c r="T46" s="147"/>
      <c r="U46" s="143"/>
    </row>
    <row r="47" spans="1:21" s="144" customFormat="1">
      <c r="A47" s="186" t="s">
        <v>152</v>
      </c>
      <c r="B47" s="146">
        <f t="shared" si="17"/>
        <v>0</v>
      </c>
      <c r="C47" s="147"/>
      <c r="D47" s="147"/>
      <c r="E47" s="147">
        <f t="shared" si="18"/>
        <v>0</v>
      </c>
      <c r="F47" s="147"/>
      <c r="G47" s="147"/>
      <c r="H47" s="147"/>
      <c r="I47" s="147"/>
      <c r="J47" s="147"/>
      <c r="K47" s="147"/>
      <c r="L47" s="147"/>
      <c r="M47" s="147"/>
      <c r="N47" s="147"/>
      <c r="O47" s="147"/>
      <c r="P47" s="147"/>
      <c r="Q47" s="147"/>
      <c r="R47" s="515">
        <f t="shared" si="19"/>
        <v>0</v>
      </c>
      <c r="S47" s="147"/>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15">
        <f t="shared" si="19"/>
        <v>0</v>
      </c>
      <c r="S48" s="147"/>
      <c r="T48" s="147"/>
      <c r="U48" s="143"/>
    </row>
    <row r="49" spans="1:21" s="144" customFormat="1">
      <c r="A49" s="145" t="s">
        <v>57</v>
      </c>
      <c r="B49" s="146">
        <f t="shared" si="17"/>
        <v>383207</v>
      </c>
      <c r="C49" s="147">
        <f>65000+50000+10000+101218+111218+4000+16771+5000+20000</f>
        <v>383207</v>
      </c>
      <c r="D49" s="147"/>
      <c r="E49" s="147">
        <f t="shared" si="18"/>
        <v>383207</v>
      </c>
      <c r="F49" s="147"/>
      <c r="G49" s="147"/>
      <c r="H49" s="147"/>
      <c r="I49" s="147"/>
      <c r="J49" s="147"/>
      <c r="K49" s="147"/>
      <c r="L49" s="147"/>
      <c r="M49" s="147"/>
      <c r="N49" s="147"/>
      <c r="O49" s="147"/>
      <c r="P49" s="147"/>
      <c r="Q49" s="147"/>
      <c r="R49" s="515">
        <f t="shared" si="19"/>
        <v>383207</v>
      </c>
      <c r="S49" s="147">
        <f>4962+3817+763+7727+8491+305+1280+382+1527</f>
        <v>29254</v>
      </c>
      <c r="T49" s="147"/>
      <c r="U49" s="143"/>
    </row>
    <row r="50" spans="1:21" s="144" customFormat="1">
      <c r="A50" s="145" t="s">
        <v>156</v>
      </c>
      <c r="B50" s="146">
        <f t="shared" si="17"/>
        <v>200000</v>
      </c>
      <c r="C50" s="147">
        <v>196496</v>
      </c>
      <c r="D50" s="147">
        <v>3504</v>
      </c>
      <c r="E50" s="147">
        <f t="shared" si="18"/>
        <v>200000</v>
      </c>
      <c r="F50" s="147"/>
      <c r="G50" s="147"/>
      <c r="H50" s="147"/>
      <c r="I50" s="147"/>
      <c r="J50" s="147"/>
      <c r="K50" s="147"/>
      <c r="L50" s="147"/>
      <c r="M50" s="147"/>
      <c r="N50" s="147"/>
      <c r="O50" s="147"/>
      <c r="P50" s="147"/>
      <c r="Q50" s="147"/>
      <c r="R50" s="515">
        <f t="shared" si="19"/>
        <v>200000</v>
      </c>
      <c r="S50" s="147">
        <f>C50</f>
        <v>196496</v>
      </c>
      <c r="T50" s="147"/>
      <c r="U50" s="143"/>
    </row>
    <row r="51" spans="1:21" s="144" customFormat="1">
      <c r="A51" s="282" t="s">
        <v>154</v>
      </c>
      <c r="B51" s="146">
        <f t="shared" si="17"/>
        <v>15000</v>
      </c>
      <c r="C51" s="147">
        <v>14737</v>
      </c>
      <c r="D51" s="147">
        <v>263</v>
      </c>
      <c r="E51" s="147">
        <f t="shared" si="18"/>
        <v>15000</v>
      </c>
      <c r="F51" s="147"/>
      <c r="G51" s="147"/>
      <c r="H51" s="147"/>
      <c r="I51" s="147"/>
      <c r="J51" s="147"/>
      <c r="K51" s="147"/>
      <c r="L51" s="147"/>
      <c r="M51" s="147"/>
      <c r="N51" s="147"/>
      <c r="O51" s="147"/>
      <c r="P51" s="147"/>
      <c r="Q51" s="147"/>
      <c r="R51" s="515">
        <f t="shared" si="19"/>
        <v>15000</v>
      </c>
      <c r="S51" s="147">
        <f>C51</f>
        <v>14737</v>
      </c>
      <c r="T51" s="147"/>
      <c r="U51" s="143"/>
    </row>
    <row r="52" spans="1:21" s="144" customFormat="1">
      <c r="A52" s="145" t="s">
        <v>155</v>
      </c>
      <c r="B52" s="146">
        <f t="shared" si="17"/>
        <v>1310000</v>
      </c>
      <c r="C52" s="147">
        <f>1287048</f>
        <v>1287048</v>
      </c>
      <c r="D52" s="147">
        <v>22952</v>
      </c>
      <c r="E52" s="147">
        <f t="shared" si="18"/>
        <v>1310000</v>
      </c>
      <c r="F52" s="147"/>
      <c r="G52" s="147"/>
      <c r="H52" s="147"/>
      <c r="I52" s="147"/>
      <c r="J52" s="147"/>
      <c r="K52" s="147"/>
      <c r="L52" s="147"/>
      <c r="M52" s="147"/>
      <c r="N52" s="147"/>
      <c r="O52" s="147"/>
      <c r="P52" s="147"/>
      <c r="Q52" s="147"/>
      <c r="R52" s="515">
        <f t="shared" si="19"/>
        <v>1310000</v>
      </c>
      <c r="S52" s="147">
        <f>C52</f>
        <v>1287048</v>
      </c>
      <c r="T52" s="147"/>
      <c r="U52" s="143"/>
    </row>
    <row r="53" spans="1:21" s="144" customFormat="1">
      <c r="A53" s="1148" t="s">
        <v>2742</v>
      </c>
      <c r="B53" s="146">
        <f t="shared" si="17"/>
        <v>51400</v>
      </c>
      <c r="C53" s="147">
        <f>51400</f>
        <v>51400</v>
      </c>
      <c r="D53" s="147"/>
      <c r="E53" s="147">
        <f t="shared" si="18"/>
        <v>51400</v>
      </c>
      <c r="F53" s="147"/>
      <c r="G53" s="147"/>
      <c r="H53" s="147"/>
      <c r="I53" s="147"/>
      <c r="J53" s="147"/>
      <c r="K53" s="147"/>
      <c r="L53" s="147"/>
      <c r="M53" s="147"/>
      <c r="N53" s="147"/>
      <c r="O53" s="147"/>
      <c r="P53" s="147"/>
      <c r="Q53" s="147"/>
      <c r="R53" s="515">
        <f t="shared" si="19"/>
        <v>51400</v>
      </c>
      <c r="S53" s="147">
        <f>18786</f>
        <v>18786</v>
      </c>
      <c r="T53" s="147"/>
      <c r="U53" s="143"/>
    </row>
    <row r="54" spans="1:21" s="153" customFormat="1">
      <c r="A54" s="149" t="s">
        <v>157</v>
      </c>
      <c r="B54" s="150">
        <f>SUM(C54:D54)</f>
        <v>7158522</v>
      </c>
      <c r="C54" s="150">
        <f t="shared" ref="C54:T54" si="20">SUM(C45:C53)</f>
        <v>7131803</v>
      </c>
      <c r="D54" s="150">
        <f t="shared" si="20"/>
        <v>26719</v>
      </c>
      <c r="E54" s="150">
        <f t="shared" si="20"/>
        <v>6120180</v>
      </c>
      <c r="F54" s="150">
        <f t="shared" si="20"/>
        <v>0</v>
      </c>
      <c r="G54" s="150">
        <f t="shared" si="20"/>
        <v>0</v>
      </c>
      <c r="H54" s="150">
        <f t="shared" si="20"/>
        <v>0</v>
      </c>
      <c r="I54" s="150">
        <f t="shared" si="20"/>
        <v>1038342</v>
      </c>
      <c r="J54" s="150">
        <f t="shared" si="20"/>
        <v>0</v>
      </c>
      <c r="K54" s="150">
        <f t="shared" si="20"/>
        <v>0</v>
      </c>
      <c r="L54" s="150">
        <f t="shared" si="20"/>
        <v>0</v>
      </c>
      <c r="M54" s="150">
        <f t="shared" si="20"/>
        <v>0</v>
      </c>
      <c r="N54" s="150">
        <f t="shared" si="20"/>
        <v>0</v>
      </c>
      <c r="O54" s="150">
        <f t="shared" si="20"/>
        <v>0</v>
      </c>
      <c r="P54" s="150">
        <f t="shared" si="20"/>
        <v>0</v>
      </c>
      <c r="Q54" s="150">
        <f t="shared" si="20"/>
        <v>0</v>
      </c>
      <c r="R54" s="341">
        <f t="shared" si="20"/>
        <v>7158522</v>
      </c>
      <c r="S54" s="150">
        <f t="shared" si="20"/>
        <v>3794409</v>
      </c>
      <c r="T54" s="150">
        <f t="shared" si="20"/>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103590</v>
      </c>
      <c r="C56" s="147">
        <v>103590</v>
      </c>
      <c r="D56" s="147"/>
      <c r="E56" s="147">
        <f t="shared" ref="E56:E61" si="22">B56-SUM(F56:K56)</f>
        <v>103590</v>
      </c>
      <c r="F56" s="147"/>
      <c r="G56" s="147"/>
      <c r="H56" s="147"/>
      <c r="I56" s="147"/>
      <c r="J56" s="147"/>
      <c r="K56" s="147"/>
      <c r="L56" s="147"/>
      <c r="M56" s="147"/>
      <c r="N56" s="147"/>
      <c r="O56" s="147"/>
      <c r="P56" s="147"/>
      <c r="Q56" s="147"/>
      <c r="R56" s="515">
        <f t="shared" ref="R56:R61" si="23">SUM(E56:Q56)</f>
        <v>103590</v>
      </c>
      <c r="S56" s="148"/>
      <c r="T56" s="148"/>
      <c r="U56" s="143"/>
    </row>
    <row r="57" spans="1:21" s="192" customFormat="1">
      <c r="A57" s="186" t="s">
        <v>152</v>
      </c>
      <c r="B57" s="193">
        <f t="shared" si="21"/>
        <v>0</v>
      </c>
      <c r="C57" s="190"/>
      <c r="D57" s="190"/>
      <c r="E57" s="190">
        <f t="shared" si="22"/>
        <v>0</v>
      </c>
      <c r="F57" s="190"/>
      <c r="G57" s="190"/>
      <c r="H57" s="190"/>
      <c r="I57" s="190"/>
      <c r="J57" s="190"/>
      <c r="K57" s="190"/>
      <c r="L57" s="190"/>
      <c r="M57" s="190"/>
      <c r="N57" s="190"/>
      <c r="O57" s="190"/>
      <c r="P57" s="190"/>
      <c r="Q57" s="190"/>
      <c r="R57" s="515">
        <f t="shared" si="23"/>
        <v>0</v>
      </c>
      <c r="S57" s="194"/>
      <c r="T57" s="194"/>
      <c r="U57" s="191"/>
    </row>
    <row r="58" spans="1:21" s="144" customFormat="1">
      <c r="A58" s="145" t="s">
        <v>156</v>
      </c>
      <c r="B58" s="146">
        <f t="shared" si="21"/>
        <v>37086</v>
      </c>
      <c r="C58" s="147">
        <v>36436</v>
      </c>
      <c r="D58" s="147">
        <v>650</v>
      </c>
      <c r="E58" s="147">
        <f t="shared" si="22"/>
        <v>37086</v>
      </c>
      <c r="F58" s="147"/>
      <c r="G58" s="147"/>
      <c r="H58" s="147"/>
      <c r="I58" s="147"/>
      <c r="J58" s="147"/>
      <c r="K58" s="147"/>
      <c r="L58" s="147"/>
      <c r="M58" s="147"/>
      <c r="N58" s="147"/>
      <c r="O58" s="147"/>
      <c r="P58" s="147"/>
      <c r="Q58" s="147"/>
      <c r="R58" s="515">
        <f t="shared" si="23"/>
        <v>37086</v>
      </c>
      <c r="S58" s="148"/>
      <c r="T58" s="148"/>
      <c r="U58" s="143"/>
    </row>
    <row r="59" spans="1:21" s="144" customFormat="1">
      <c r="A59" s="282" t="s">
        <v>154</v>
      </c>
      <c r="B59" s="146">
        <f t="shared" si="21"/>
        <v>0</v>
      </c>
      <c r="C59" s="147"/>
      <c r="D59" s="147"/>
      <c r="E59" s="147">
        <f t="shared" si="22"/>
        <v>0</v>
      </c>
      <c r="F59" s="147"/>
      <c r="G59" s="147"/>
      <c r="H59" s="147"/>
      <c r="I59" s="147"/>
      <c r="J59" s="147"/>
      <c r="K59" s="147"/>
      <c r="L59" s="147"/>
      <c r="M59" s="147"/>
      <c r="N59" s="147"/>
      <c r="O59" s="147"/>
      <c r="P59" s="147"/>
      <c r="Q59" s="147"/>
      <c r="R59" s="515">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15">
        <f t="shared" si="23"/>
        <v>0</v>
      </c>
      <c r="S60" s="148"/>
      <c r="T60" s="148"/>
      <c r="U60" s="143"/>
    </row>
    <row r="61" spans="1:21" s="144" customFormat="1">
      <c r="A61" s="1148" t="s">
        <v>2742</v>
      </c>
      <c r="B61" s="146">
        <f t="shared" si="21"/>
        <v>49650</v>
      </c>
      <c r="C61" s="147">
        <f>42500+7150</f>
        <v>49650</v>
      </c>
      <c r="D61" s="147"/>
      <c r="E61" s="147">
        <f t="shared" si="22"/>
        <v>49650</v>
      </c>
      <c r="F61" s="147"/>
      <c r="G61" s="147"/>
      <c r="H61" s="147"/>
      <c r="I61" s="147"/>
      <c r="J61" s="147"/>
      <c r="K61" s="147"/>
      <c r="L61" s="147"/>
      <c r="M61" s="147"/>
      <c r="N61" s="147"/>
      <c r="O61" s="147"/>
      <c r="P61" s="147"/>
      <c r="Q61" s="147"/>
      <c r="R61" s="515">
        <f t="shared" si="23"/>
        <v>49650</v>
      </c>
      <c r="S61" s="148"/>
      <c r="T61" s="148"/>
      <c r="U61" s="143"/>
    </row>
    <row r="62" spans="1:21" s="144" customFormat="1" ht="13.7" customHeight="1">
      <c r="A62" s="149" t="s">
        <v>301</v>
      </c>
      <c r="B62" s="146">
        <f>SUM(C62:D62)</f>
        <v>190326</v>
      </c>
      <c r="C62" s="146">
        <f t="shared" ref="C62:R62" si="24">SUM(C56:C61)</f>
        <v>189676</v>
      </c>
      <c r="D62" s="146">
        <f t="shared" si="24"/>
        <v>650</v>
      </c>
      <c r="E62" s="146">
        <f t="shared" si="24"/>
        <v>190326</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1">
        <f t="shared" si="24"/>
        <v>190326</v>
      </c>
      <c r="S62" s="148"/>
      <c r="T62" s="148"/>
      <c r="U62" s="143"/>
    </row>
    <row r="63" spans="1:21" s="144" customFormat="1">
      <c r="A63" s="154" t="s">
        <v>302</v>
      </c>
      <c r="B63" s="146">
        <f t="shared" ref="B63:R63" si="25">SUM(B8+B11+B13+B14+B15+B26+B27+B38+B42+B43+B54+B62)</f>
        <v>71510477</v>
      </c>
      <c r="C63" s="146">
        <f t="shared" si="25"/>
        <v>70358970</v>
      </c>
      <c r="D63" s="146">
        <f t="shared" si="25"/>
        <v>1151507</v>
      </c>
      <c r="E63" s="146">
        <f t="shared" si="25"/>
        <v>26660135</v>
      </c>
      <c r="F63" s="146">
        <f t="shared" si="25"/>
        <v>13812000</v>
      </c>
      <c r="G63" s="146">
        <f t="shared" si="25"/>
        <v>10000000</v>
      </c>
      <c r="H63" s="146">
        <f t="shared" si="25"/>
        <v>20000000</v>
      </c>
      <c r="I63" s="146">
        <f t="shared" si="25"/>
        <v>1038342</v>
      </c>
      <c r="J63" s="146">
        <f t="shared" si="25"/>
        <v>0</v>
      </c>
      <c r="K63" s="146">
        <f t="shared" si="25"/>
        <v>0</v>
      </c>
      <c r="L63" s="146">
        <f t="shared" si="25"/>
        <v>0</v>
      </c>
      <c r="M63" s="146">
        <f t="shared" si="25"/>
        <v>0</v>
      </c>
      <c r="N63" s="146">
        <f t="shared" si="25"/>
        <v>0</v>
      </c>
      <c r="O63" s="146">
        <f t="shared" si="25"/>
        <v>0</v>
      </c>
      <c r="P63" s="146">
        <f t="shared" si="25"/>
        <v>0</v>
      </c>
      <c r="Q63" s="146">
        <f t="shared" si="25"/>
        <v>0</v>
      </c>
      <c r="R63" s="341">
        <f t="shared" si="25"/>
        <v>71510477</v>
      </c>
      <c r="S63" s="146">
        <f>SUM(S10+S13+S14+S15+S26+S27+S38+S42+S43+S54)</f>
        <v>66831802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165000</v>
      </c>
      <c r="C65" s="147">
        <f>80000+85000</f>
        <v>165000</v>
      </c>
      <c r="D65" s="147">
        <f>0</f>
        <v>0</v>
      </c>
      <c r="E65" s="147">
        <f t="shared" ref="E65:E68" si="26">B65-SUM(F65:K65)</f>
        <v>165000</v>
      </c>
      <c r="F65" s="147"/>
      <c r="G65" s="147"/>
      <c r="H65" s="147"/>
      <c r="I65" s="147"/>
      <c r="J65" s="147"/>
      <c r="K65" s="147"/>
      <c r="L65" s="147"/>
      <c r="M65" s="147"/>
      <c r="N65" s="147"/>
      <c r="O65" s="147"/>
      <c r="P65" s="147"/>
      <c r="Q65" s="147"/>
      <c r="R65" s="515">
        <f>SUM(E65:Q65)</f>
        <v>165000</v>
      </c>
      <c r="S65" s="147">
        <f>29239</f>
        <v>29239</v>
      </c>
      <c r="T65" s="147"/>
      <c r="U65" s="143"/>
    </row>
    <row r="66" spans="1:21" s="144" customFormat="1" ht="24" customHeight="1">
      <c r="A66" s="282" t="s">
        <v>1642</v>
      </c>
      <c r="B66" s="146">
        <f>SUM(C66+D66)</f>
        <v>0</v>
      </c>
      <c r="C66" s="147"/>
      <c r="D66" s="147"/>
      <c r="E66" s="147">
        <f t="shared" si="26"/>
        <v>0</v>
      </c>
      <c r="F66" s="147"/>
      <c r="G66" s="147"/>
      <c r="H66" s="147"/>
      <c r="I66" s="147"/>
      <c r="J66" s="147"/>
      <c r="K66" s="147"/>
      <c r="L66" s="147"/>
      <c r="M66" s="147"/>
      <c r="N66" s="147"/>
      <c r="O66" s="147"/>
      <c r="P66" s="147"/>
      <c r="Q66" s="147"/>
      <c r="R66" s="515">
        <f>SUM(E66:Q66)</f>
        <v>0</v>
      </c>
      <c r="S66" s="147"/>
      <c r="T66" s="147"/>
      <c r="U66" s="143"/>
    </row>
    <row r="67" spans="1:21" s="144" customFormat="1" ht="24" customHeight="1">
      <c r="A67" s="282" t="s">
        <v>1643</v>
      </c>
      <c r="B67" s="146">
        <f>SUM(C67+D67)</f>
        <v>0</v>
      </c>
      <c r="C67" s="147"/>
      <c r="D67" s="147"/>
      <c r="E67" s="147">
        <f t="shared" si="26"/>
        <v>0</v>
      </c>
      <c r="F67" s="147"/>
      <c r="G67" s="147"/>
      <c r="H67" s="147"/>
      <c r="I67" s="147"/>
      <c r="J67" s="147"/>
      <c r="K67" s="147"/>
      <c r="L67" s="147"/>
      <c r="M67" s="147"/>
      <c r="N67" s="147"/>
      <c r="O67" s="147"/>
      <c r="P67" s="147"/>
      <c r="Q67" s="147"/>
      <c r="R67" s="515">
        <f>SUM(E67:Q67)</f>
        <v>0</v>
      </c>
      <c r="S67" s="147"/>
      <c r="T67" s="147"/>
      <c r="U67" s="143"/>
    </row>
    <row r="68" spans="1:21" s="144" customFormat="1" ht="12" customHeight="1">
      <c r="A68" s="282" t="s">
        <v>1649</v>
      </c>
      <c r="B68" s="146">
        <f>SUM(C68+D68)</f>
        <v>0</v>
      </c>
      <c r="C68" s="147"/>
      <c r="D68" s="147"/>
      <c r="E68" s="147">
        <f t="shared" si="26"/>
        <v>0</v>
      </c>
      <c r="F68" s="147"/>
      <c r="G68" s="147"/>
      <c r="H68" s="147"/>
      <c r="I68" s="147"/>
      <c r="J68" s="147"/>
      <c r="K68" s="147"/>
      <c r="L68" s="147"/>
      <c r="M68" s="147"/>
      <c r="N68" s="147"/>
      <c r="O68" s="147"/>
      <c r="P68" s="147"/>
      <c r="Q68" s="147"/>
      <c r="R68" s="515">
        <f>SUM(E68:Q68)</f>
        <v>0</v>
      </c>
      <c r="S68" s="147"/>
      <c r="T68" s="147"/>
      <c r="U68" s="143"/>
    </row>
    <row r="69" spans="1:21" s="144" customFormat="1">
      <c r="A69" s="1148" t="s">
        <v>2741</v>
      </c>
      <c r="B69" s="146">
        <f>SUM(C69+D69)</f>
        <v>120000</v>
      </c>
      <c r="C69" s="147">
        <f>93336+24562</f>
        <v>117898</v>
      </c>
      <c r="D69" s="147">
        <f>1664+438</f>
        <v>2102</v>
      </c>
      <c r="E69" s="147">
        <f>B69-SUM(F69:K69)</f>
        <v>120000</v>
      </c>
      <c r="F69" s="147"/>
      <c r="G69" s="147"/>
      <c r="H69" s="147"/>
      <c r="I69" s="147"/>
      <c r="J69" s="147"/>
      <c r="K69" s="147"/>
      <c r="L69" s="147"/>
      <c r="M69" s="147"/>
      <c r="N69" s="147"/>
      <c r="O69" s="147"/>
      <c r="P69" s="147"/>
      <c r="Q69" s="147"/>
      <c r="R69" s="515">
        <f>SUM(E69:Q69)</f>
        <v>120000</v>
      </c>
      <c r="S69" s="147">
        <f>93336</f>
        <v>93336</v>
      </c>
      <c r="T69" s="147"/>
      <c r="U69" s="143"/>
    </row>
    <row r="70" spans="1:21" s="144" customFormat="1">
      <c r="A70" s="149" t="s">
        <v>1646</v>
      </c>
      <c r="B70" s="146">
        <f>SUM(C70:D70)</f>
        <v>285000</v>
      </c>
      <c r="C70" s="146">
        <f>SUM(C65:C69)</f>
        <v>282898</v>
      </c>
      <c r="D70" s="146">
        <f>SUM(D65:D69)</f>
        <v>2102</v>
      </c>
      <c r="E70" s="146">
        <f t="shared" ref="E70:T70" si="27">SUM(E65:E69)</f>
        <v>285000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1">
        <f t="shared" si="27"/>
        <v>285000</v>
      </c>
      <c r="S70" s="150">
        <f t="shared" si="27"/>
        <v>122575</v>
      </c>
      <c r="T70" s="150">
        <f t="shared" si="2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8">B72-SUM(F72:K72)</f>
        <v>0</v>
      </c>
      <c r="F72" s="147"/>
      <c r="G72" s="147"/>
      <c r="H72" s="147"/>
      <c r="I72" s="147"/>
      <c r="J72" s="147"/>
      <c r="K72" s="147"/>
      <c r="L72" s="147"/>
      <c r="M72" s="147"/>
      <c r="N72" s="147"/>
      <c r="O72" s="147"/>
      <c r="P72" s="147"/>
      <c r="Q72" s="147"/>
      <c r="R72" s="515">
        <f>SUM(E72:Q72)</f>
        <v>0</v>
      </c>
      <c r="S72" s="148"/>
      <c r="T72" s="148"/>
      <c r="U72" s="143"/>
    </row>
    <row r="73" spans="1:21" s="144" customFormat="1">
      <c r="A73" s="145" t="s">
        <v>605</v>
      </c>
      <c r="B73" s="146">
        <f>SUM(C73+D73)</f>
        <v>0</v>
      </c>
      <c r="C73" s="147"/>
      <c r="D73" s="147"/>
      <c r="E73" s="147">
        <f t="shared" si="28"/>
        <v>0</v>
      </c>
      <c r="F73" s="147"/>
      <c r="G73" s="147"/>
      <c r="H73" s="147"/>
      <c r="I73" s="147"/>
      <c r="J73" s="147"/>
      <c r="K73" s="147"/>
      <c r="L73" s="147"/>
      <c r="M73" s="147"/>
      <c r="N73" s="147"/>
      <c r="O73" s="147"/>
      <c r="P73" s="147"/>
      <c r="Q73" s="147"/>
      <c r="R73" s="515">
        <f>SUM(E73:Q73)</f>
        <v>0</v>
      </c>
      <c r="S73" s="148"/>
      <c r="T73" s="148"/>
      <c r="U73" s="143"/>
    </row>
    <row r="74" spans="1:21" s="144" customFormat="1">
      <c r="A74" s="449" t="s">
        <v>987</v>
      </c>
      <c r="B74" s="146">
        <f>SUM(C74+D74)</f>
        <v>0</v>
      </c>
      <c r="C74" s="147"/>
      <c r="D74" s="147"/>
      <c r="E74" s="147">
        <f t="shared" si="28"/>
        <v>0</v>
      </c>
      <c r="F74" s="147"/>
      <c r="G74" s="147"/>
      <c r="H74" s="147"/>
      <c r="I74" s="147"/>
      <c r="J74" s="147"/>
      <c r="K74" s="147"/>
      <c r="L74" s="147"/>
      <c r="M74" s="147"/>
      <c r="N74" s="147"/>
      <c r="O74" s="147"/>
      <c r="P74" s="147"/>
      <c r="Q74" s="147"/>
      <c r="R74" s="515">
        <f>SUM(E74:Q74)</f>
        <v>0</v>
      </c>
      <c r="S74" s="148"/>
      <c r="T74" s="148"/>
      <c r="U74" s="143"/>
    </row>
    <row r="75" spans="1:21" s="144" customFormat="1">
      <c r="A75" s="145" t="s">
        <v>606</v>
      </c>
      <c r="B75" s="146">
        <f>SUM(C75+D75)</f>
        <v>660010</v>
      </c>
      <c r="C75" s="147">
        <v>660010</v>
      </c>
      <c r="D75" s="147"/>
      <c r="E75" s="147">
        <f t="shared" si="28"/>
        <v>660010</v>
      </c>
      <c r="F75" s="147"/>
      <c r="G75" s="147"/>
      <c r="H75" s="147"/>
      <c r="I75" s="147"/>
      <c r="J75" s="147"/>
      <c r="K75" s="147"/>
      <c r="L75" s="147"/>
      <c r="M75" s="147"/>
      <c r="N75" s="147"/>
      <c r="O75" s="147"/>
      <c r="P75" s="147"/>
      <c r="Q75" s="147"/>
      <c r="R75" s="515">
        <f>SUM(E75:Q75)</f>
        <v>660010</v>
      </c>
      <c r="S75" s="148"/>
      <c r="T75" s="148"/>
      <c r="U75" s="143"/>
    </row>
    <row r="76" spans="1:21" s="144" customFormat="1">
      <c r="A76" s="1148" t="s">
        <v>2737</v>
      </c>
      <c r="B76" s="146">
        <f>SUM(C76+D76)</f>
        <v>255312</v>
      </c>
      <c r="C76" s="147">
        <v>255312</v>
      </c>
      <c r="D76" s="147"/>
      <c r="E76" s="147">
        <f t="shared" si="28"/>
        <v>255312</v>
      </c>
      <c r="F76" s="147"/>
      <c r="G76" s="147"/>
      <c r="H76" s="147"/>
      <c r="I76" s="147"/>
      <c r="J76" s="147"/>
      <c r="K76" s="147"/>
      <c r="L76" s="147"/>
      <c r="M76" s="147"/>
      <c r="N76" s="147"/>
      <c r="O76" s="147"/>
      <c r="P76" s="147"/>
      <c r="Q76" s="147"/>
      <c r="R76" s="515">
        <f>SUM(E76:Q76)</f>
        <v>255312</v>
      </c>
      <c r="S76" s="148"/>
      <c r="T76" s="148"/>
      <c r="U76" s="143"/>
    </row>
    <row r="77" spans="1:21" s="144" customFormat="1">
      <c r="A77" s="149" t="s">
        <v>607</v>
      </c>
      <c r="B77" s="146">
        <f>SUM(C77:D77)</f>
        <v>915322</v>
      </c>
      <c r="C77" s="146">
        <f>SUM(C72:C76)</f>
        <v>915322</v>
      </c>
      <c r="D77" s="146">
        <f>SUM(D72:D76)</f>
        <v>0</v>
      </c>
      <c r="E77" s="146">
        <f t="shared" ref="E77:Q77" si="29">SUM(E72:E76)</f>
        <v>915322</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1">
        <f>SUM(R72:R76)</f>
        <v>915322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2"/>
      <c r="S78" s="151"/>
      <c r="T78" s="151"/>
      <c r="U78" s="143"/>
    </row>
    <row r="79" spans="1:21" s="144" customFormat="1">
      <c r="A79" s="282" t="s">
        <v>1213</v>
      </c>
      <c r="B79" s="146">
        <f>SUM(C79:D79)</f>
        <v>3036117</v>
      </c>
      <c r="C79" s="147">
        <v>2982923</v>
      </c>
      <c r="D79" s="147">
        <v>53194</v>
      </c>
      <c r="E79" s="147">
        <f t="shared" ref="E79:E80" si="30">B79-SUM(F79:K79)</f>
        <v>3036117</v>
      </c>
      <c r="F79" s="147"/>
      <c r="G79" s="147"/>
      <c r="H79" s="147"/>
      <c r="I79" s="147"/>
      <c r="J79" s="147"/>
      <c r="K79" s="147"/>
      <c r="L79" s="147"/>
      <c r="M79" s="147"/>
      <c r="N79" s="147"/>
      <c r="O79" s="147"/>
      <c r="P79" s="147"/>
      <c r="Q79" s="147"/>
      <c r="R79" s="515">
        <f>SUM(E79:Q79)</f>
        <v>3036117</v>
      </c>
      <c r="S79" s="147">
        <f>C79</f>
        <v>2982923</v>
      </c>
      <c r="T79" s="147"/>
      <c r="U79" s="143"/>
    </row>
    <row r="80" spans="1:21" s="144" customFormat="1">
      <c r="A80" s="282" t="s">
        <v>58</v>
      </c>
      <c r="B80" s="146">
        <f>SUM(C80:D80)</f>
        <v>356457</v>
      </c>
      <c r="C80" s="147">
        <v>350212</v>
      </c>
      <c r="D80" s="147">
        <v>6245</v>
      </c>
      <c r="E80" s="147">
        <f t="shared" si="30"/>
        <v>356457</v>
      </c>
      <c r="F80" s="147"/>
      <c r="G80" s="147"/>
      <c r="H80" s="147"/>
      <c r="I80" s="147"/>
      <c r="J80" s="147"/>
      <c r="K80" s="147"/>
      <c r="L80" s="147"/>
      <c r="M80" s="147"/>
      <c r="N80" s="147"/>
      <c r="O80" s="147"/>
      <c r="P80" s="147"/>
      <c r="Q80" s="147"/>
      <c r="R80" s="515">
        <f>SUM(E80:Q80)</f>
        <v>356457</v>
      </c>
      <c r="S80" s="147">
        <f>C80</f>
        <v>350212</v>
      </c>
      <c r="T80" s="147"/>
      <c r="U80" s="143"/>
    </row>
    <row r="81" spans="1:21" s="144" customFormat="1">
      <c r="A81" s="149" t="s">
        <v>1210</v>
      </c>
      <c r="B81" s="146">
        <f>SUM(C81:D81)</f>
        <v>3392574</v>
      </c>
      <c r="C81" s="508">
        <f>SUM(C79:C80)</f>
        <v>3333135</v>
      </c>
      <c r="D81" s="508">
        <f t="shared" ref="D81:T81" si="31">SUM(D79:D80)</f>
        <v>59439</v>
      </c>
      <c r="E81" s="508">
        <f t="shared" si="31"/>
        <v>3392574</v>
      </c>
      <c r="F81" s="508">
        <f t="shared" si="31"/>
        <v>0</v>
      </c>
      <c r="G81" s="508">
        <f t="shared" si="31"/>
        <v>0</v>
      </c>
      <c r="H81" s="508">
        <f t="shared" si="31"/>
        <v>0</v>
      </c>
      <c r="I81" s="508">
        <f t="shared" si="31"/>
        <v>0</v>
      </c>
      <c r="J81" s="508">
        <f t="shared" si="31"/>
        <v>0</v>
      </c>
      <c r="K81" s="508">
        <f t="shared" si="31"/>
        <v>0</v>
      </c>
      <c r="L81" s="508">
        <f t="shared" si="31"/>
        <v>0</v>
      </c>
      <c r="M81" s="508">
        <f t="shared" si="31"/>
        <v>0</v>
      </c>
      <c r="N81" s="508">
        <f t="shared" si="31"/>
        <v>0</v>
      </c>
      <c r="O81" s="508">
        <f t="shared" si="31"/>
        <v>0</v>
      </c>
      <c r="P81" s="508">
        <f t="shared" si="31"/>
        <v>0</v>
      </c>
      <c r="Q81" s="508">
        <f t="shared" si="31"/>
        <v>0</v>
      </c>
      <c r="R81" s="508">
        <f t="shared" si="31"/>
        <v>3392574</v>
      </c>
      <c r="S81" s="508">
        <f t="shared" si="31"/>
        <v>3333135</v>
      </c>
      <c r="T81" s="508">
        <f t="shared" si="31"/>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2"/>
      <c r="S82" s="151"/>
      <c r="T82" s="151"/>
      <c r="U82" s="143"/>
    </row>
    <row r="83" spans="1:21" s="144" customFormat="1" ht="13.7" customHeight="1">
      <c r="A83" s="145" t="s">
        <v>2096</v>
      </c>
      <c r="B83" s="146">
        <f t="shared" ref="B83:B95" si="32">SUM(C83+D83)</f>
        <v>147849</v>
      </c>
      <c r="C83" s="147">
        <v>147849</v>
      </c>
      <c r="D83" s="147"/>
      <c r="E83" s="147">
        <f t="shared" ref="E83:E95" si="33">B83-SUM(F83:K83)</f>
        <v>147849</v>
      </c>
      <c r="F83" s="147"/>
      <c r="G83" s="147"/>
      <c r="H83" s="147"/>
      <c r="I83" s="147"/>
      <c r="J83" s="147"/>
      <c r="K83" s="147"/>
      <c r="L83" s="147"/>
      <c r="M83" s="147"/>
      <c r="N83" s="147"/>
      <c r="O83" s="147"/>
      <c r="P83" s="147"/>
      <c r="Q83" s="147"/>
      <c r="R83" s="515">
        <f t="shared" ref="R83:R95" si="34">SUM(E83:Q83)</f>
        <v>147849</v>
      </c>
      <c r="S83" s="148"/>
      <c r="T83" s="148"/>
      <c r="U83" s="143"/>
    </row>
    <row r="84" spans="1:21" s="144" customFormat="1">
      <c r="A84" s="145" t="s">
        <v>768</v>
      </c>
      <c r="B84" s="146">
        <f t="shared" si="32"/>
        <v>0</v>
      </c>
      <c r="C84" s="147"/>
      <c r="D84" s="147"/>
      <c r="E84" s="147">
        <f t="shared" si="33"/>
        <v>0</v>
      </c>
      <c r="F84" s="147"/>
      <c r="G84" s="147"/>
      <c r="H84" s="147"/>
      <c r="I84" s="147"/>
      <c r="J84" s="147"/>
      <c r="K84" s="147"/>
      <c r="L84" s="147"/>
      <c r="M84" s="147"/>
      <c r="N84" s="147"/>
      <c r="O84" s="147"/>
      <c r="P84" s="147"/>
      <c r="Q84" s="147"/>
      <c r="R84" s="515">
        <f t="shared" si="34"/>
        <v>0</v>
      </c>
      <c r="S84" s="147"/>
      <c r="T84" s="147"/>
      <c r="U84" s="143"/>
    </row>
    <row r="85" spans="1:21" s="144" customFormat="1">
      <c r="A85" s="145" t="s">
        <v>769</v>
      </c>
      <c r="B85" s="146">
        <f t="shared" si="32"/>
        <v>941613</v>
      </c>
      <c r="C85" s="147">
        <f>630372+294744</f>
        <v>925116</v>
      </c>
      <c r="D85" s="147">
        <f>11241+5256</f>
        <v>16497</v>
      </c>
      <c r="E85" s="147">
        <f t="shared" si="33"/>
        <v>941613</v>
      </c>
      <c r="F85" s="147"/>
      <c r="G85" s="147"/>
      <c r="H85" s="147"/>
      <c r="I85" s="147"/>
      <c r="J85" s="147"/>
      <c r="K85" s="147"/>
      <c r="L85" s="147"/>
      <c r="M85" s="147"/>
      <c r="N85" s="147"/>
      <c r="O85" s="147"/>
      <c r="P85" s="147"/>
      <c r="Q85" s="147"/>
      <c r="R85" s="515">
        <f t="shared" si="34"/>
        <v>941613</v>
      </c>
      <c r="S85" s="147">
        <f>C85</f>
        <v>925116</v>
      </c>
      <c r="T85" s="147"/>
      <c r="U85" s="143"/>
    </row>
    <row r="86" spans="1:21" s="144" customFormat="1">
      <c r="A86" s="145" t="s">
        <v>770</v>
      </c>
      <c r="B86" s="146">
        <f t="shared" si="32"/>
        <v>25000</v>
      </c>
      <c r="C86" s="147">
        <v>24562</v>
      </c>
      <c r="D86" s="147">
        <v>438</v>
      </c>
      <c r="E86" s="147">
        <f t="shared" si="33"/>
        <v>25000</v>
      </c>
      <c r="F86" s="147"/>
      <c r="G86" s="147"/>
      <c r="H86" s="147"/>
      <c r="I86" s="147"/>
      <c r="J86" s="147"/>
      <c r="K86" s="147"/>
      <c r="L86" s="147"/>
      <c r="M86" s="147"/>
      <c r="N86" s="147"/>
      <c r="O86" s="147"/>
      <c r="P86" s="147"/>
      <c r="Q86" s="147"/>
      <c r="R86" s="515">
        <f t="shared" si="34"/>
        <v>25000</v>
      </c>
      <c r="S86" s="147">
        <f>C86</f>
        <v>24562</v>
      </c>
      <c r="T86" s="147"/>
      <c r="U86" s="143"/>
    </row>
    <row r="87" spans="1:21" s="144" customFormat="1">
      <c r="A87" s="145" t="s">
        <v>771</v>
      </c>
      <c r="B87" s="146">
        <f t="shared" si="32"/>
        <v>0</v>
      </c>
      <c r="C87" s="147"/>
      <c r="D87" s="147"/>
      <c r="E87" s="147">
        <f t="shared" si="33"/>
        <v>0</v>
      </c>
      <c r="F87" s="147"/>
      <c r="G87" s="147"/>
      <c r="H87" s="147"/>
      <c r="I87" s="147"/>
      <c r="J87" s="147"/>
      <c r="K87" s="147"/>
      <c r="L87" s="147"/>
      <c r="M87" s="147"/>
      <c r="N87" s="147"/>
      <c r="O87" s="147"/>
      <c r="P87" s="147"/>
      <c r="Q87" s="147"/>
      <c r="R87" s="515">
        <f t="shared" si="34"/>
        <v>0</v>
      </c>
      <c r="S87" s="147"/>
      <c r="T87" s="147"/>
      <c r="U87" s="143"/>
    </row>
    <row r="88" spans="1:21" s="144" customFormat="1">
      <c r="A88" s="145" t="s">
        <v>772</v>
      </c>
      <c r="B88" s="146">
        <f t="shared" si="32"/>
        <v>80000</v>
      </c>
      <c r="C88" s="147">
        <v>80000</v>
      </c>
      <c r="D88" s="147"/>
      <c r="E88" s="147">
        <f t="shared" si="33"/>
        <v>80000</v>
      </c>
      <c r="F88" s="147"/>
      <c r="G88" s="147"/>
      <c r="H88" s="147"/>
      <c r="I88" s="147"/>
      <c r="J88" s="147"/>
      <c r="K88" s="147"/>
      <c r="L88" s="147"/>
      <c r="M88" s="147"/>
      <c r="N88" s="147"/>
      <c r="O88" s="147"/>
      <c r="P88" s="147"/>
      <c r="Q88" s="147"/>
      <c r="R88" s="515">
        <f t="shared" si="34"/>
        <v>80000</v>
      </c>
      <c r="S88" s="148"/>
      <c r="T88" s="148"/>
      <c r="U88" s="143"/>
    </row>
    <row r="89" spans="1:21" s="144" customFormat="1">
      <c r="A89" s="145" t="s">
        <v>773</v>
      </c>
      <c r="B89" s="146">
        <f t="shared" si="32"/>
        <v>450000</v>
      </c>
      <c r="C89" s="147">
        <v>450000</v>
      </c>
      <c r="D89" s="147"/>
      <c r="E89" s="147">
        <f t="shared" si="33"/>
        <v>450000</v>
      </c>
      <c r="F89" s="147"/>
      <c r="G89" s="147"/>
      <c r="H89" s="147"/>
      <c r="I89" s="147"/>
      <c r="J89" s="147"/>
      <c r="K89" s="147"/>
      <c r="L89" s="147"/>
      <c r="M89" s="147"/>
      <c r="N89" s="147"/>
      <c r="O89" s="147"/>
      <c r="P89" s="147"/>
      <c r="Q89" s="147"/>
      <c r="R89" s="515">
        <f t="shared" si="34"/>
        <v>450000</v>
      </c>
      <c r="S89" s="147">
        <f>C89</f>
        <v>450000</v>
      </c>
      <c r="T89" s="147"/>
      <c r="U89" s="143"/>
    </row>
    <row r="90" spans="1:21" s="144" customFormat="1">
      <c r="A90" s="145" t="s">
        <v>774</v>
      </c>
      <c r="B90" s="146">
        <f t="shared" si="32"/>
        <v>15000</v>
      </c>
      <c r="C90" s="147">
        <v>15000</v>
      </c>
      <c r="D90" s="147"/>
      <c r="E90" s="147">
        <f t="shared" si="33"/>
        <v>15000</v>
      </c>
      <c r="F90" s="147"/>
      <c r="G90" s="147"/>
      <c r="H90" s="147"/>
      <c r="I90" s="147"/>
      <c r="J90" s="147"/>
      <c r="K90" s="147"/>
      <c r="L90" s="147"/>
      <c r="M90" s="147"/>
      <c r="N90" s="147"/>
      <c r="O90" s="147"/>
      <c r="P90" s="147"/>
      <c r="Q90" s="147"/>
      <c r="R90" s="515">
        <f t="shared" si="34"/>
        <v>15000</v>
      </c>
      <c r="S90" s="147">
        <f>0</f>
        <v>0</v>
      </c>
      <c r="T90" s="147"/>
      <c r="U90" s="143"/>
    </row>
    <row r="91" spans="1:21" s="144" customFormat="1">
      <c r="A91" s="145" t="s">
        <v>372</v>
      </c>
      <c r="B91" s="146">
        <f t="shared" si="32"/>
        <v>0</v>
      </c>
      <c r="C91" s="147"/>
      <c r="D91" s="147"/>
      <c r="E91" s="147">
        <f t="shared" si="33"/>
        <v>0</v>
      </c>
      <c r="F91" s="147"/>
      <c r="G91" s="147"/>
      <c r="H91" s="147"/>
      <c r="I91" s="147"/>
      <c r="J91" s="147"/>
      <c r="K91" s="147"/>
      <c r="L91" s="147"/>
      <c r="M91" s="147"/>
      <c r="N91" s="147"/>
      <c r="O91" s="147"/>
      <c r="P91" s="147"/>
      <c r="Q91" s="147"/>
      <c r="R91" s="515">
        <f t="shared" si="34"/>
        <v>0</v>
      </c>
      <c r="S91" s="147"/>
      <c r="T91" s="147"/>
      <c r="U91" s="143"/>
    </row>
    <row r="92" spans="1:21" s="144" customFormat="1">
      <c r="A92" s="282" t="s">
        <v>1212</v>
      </c>
      <c r="B92" s="146">
        <f t="shared" si="32"/>
        <v>15000</v>
      </c>
      <c r="C92" s="147">
        <v>14737</v>
      </c>
      <c r="D92" s="147">
        <v>263</v>
      </c>
      <c r="E92" s="147">
        <f t="shared" si="33"/>
        <v>15000</v>
      </c>
      <c r="F92" s="147"/>
      <c r="G92" s="147"/>
      <c r="H92" s="147"/>
      <c r="I92" s="147"/>
      <c r="J92" s="147"/>
      <c r="K92" s="147"/>
      <c r="L92" s="147"/>
      <c r="M92" s="147"/>
      <c r="N92" s="147"/>
      <c r="O92" s="147"/>
      <c r="P92" s="147"/>
      <c r="Q92" s="147"/>
      <c r="R92" s="515">
        <f t="shared" si="34"/>
        <v>15000</v>
      </c>
      <c r="S92" s="147">
        <f>C92</f>
        <v>14737</v>
      </c>
      <c r="T92" s="147"/>
      <c r="U92" s="143"/>
    </row>
    <row r="93" spans="1:21" s="144" customFormat="1">
      <c r="A93" s="1148" t="s">
        <v>2735</v>
      </c>
      <c r="B93" s="146">
        <f t="shared" si="32"/>
        <v>180000</v>
      </c>
      <c r="C93" s="147">
        <v>176846</v>
      </c>
      <c r="D93" s="147">
        <v>3154</v>
      </c>
      <c r="E93" s="147">
        <f t="shared" si="33"/>
        <v>180000</v>
      </c>
      <c r="F93" s="147"/>
      <c r="G93" s="147"/>
      <c r="H93" s="147"/>
      <c r="I93" s="147"/>
      <c r="J93" s="147"/>
      <c r="K93" s="147"/>
      <c r="L93" s="147"/>
      <c r="M93" s="147"/>
      <c r="N93" s="147"/>
      <c r="O93" s="147"/>
      <c r="P93" s="147"/>
      <c r="Q93" s="147"/>
      <c r="R93" s="515">
        <f t="shared" si="34"/>
        <v>180000</v>
      </c>
      <c r="S93" s="147">
        <f>C93</f>
        <v>176846</v>
      </c>
      <c r="T93" s="147"/>
      <c r="U93" s="143"/>
    </row>
    <row r="94" spans="1:21" s="144" customFormat="1">
      <c r="A94" s="1148" t="s">
        <v>2736</v>
      </c>
      <c r="B94" s="146">
        <f t="shared" si="32"/>
        <v>175000</v>
      </c>
      <c r="C94" s="147">
        <v>171934</v>
      </c>
      <c r="D94" s="147">
        <v>3066</v>
      </c>
      <c r="E94" s="147">
        <f t="shared" si="33"/>
        <v>175000</v>
      </c>
      <c r="F94" s="147"/>
      <c r="G94" s="147"/>
      <c r="H94" s="147"/>
      <c r="I94" s="147"/>
      <c r="J94" s="147"/>
      <c r="K94" s="147"/>
      <c r="L94" s="147"/>
      <c r="M94" s="147"/>
      <c r="N94" s="147"/>
      <c r="O94" s="147"/>
      <c r="P94" s="147"/>
      <c r="Q94" s="147"/>
      <c r="R94" s="515">
        <f t="shared" si="34"/>
        <v>175000</v>
      </c>
      <c r="S94" s="147">
        <f>C94</f>
        <v>171934</v>
      </c>
      <c r="T94" s="147"/>
      <c r="U94" s="143"/>
    </row>
    <row r="95" spans="1:21" s="144" customFormat="1">
      <c r="A95" s="1148" t="s">
        <v>34</v>
      </c>
      <c r="B95" s="146">
        <f t="shared" si="32"/>
        <v>0</v>
      </c>
      <c r="C95" s="147"/>
      <c r="D95" s="147"/>
      <c r="E95" s="147">
        <f t="shared" si="33"/>
        <v>0</v>
      </c>
      <c r="F95" s="147"/>
      <c r="G95" s="147"/>
      <c r="H95" s="147"/>
      <c r="I95" s="147"/>
      <c r="J95" s="147"/>
      <c r="K95" s="147"/>
      <c r="L95" s="147"/>
      <c r="M95" s="147"/>
      <c r="N95" s="147"/>
      <c r="O95" s="147"/>
      <c r="P95" s="147"/>
      <c r="Q95" s="147"/>
      <c r="R95" s="515">
        <f t="shared" si="34"/>
        <v>0</v>
      </c>
      <c r="S95" s="147"/>
      <c r="T95" s="147"/>
      <c r="U95" s="143"/>
    </row>
    <row r="96" spans="1:21" s="144" customFormat="1">
      <c r="A96" s="149" t="s">
        <v>775</v>
      </c>
      <c r="B96" s="146">
        <f>SUM(C96:D96)</f>
        <v>2029462</v>
      </c>
      <c r="C96" s="146">
        <f t="shared" ref="C96:R96" si="35">SUM(C83:C95)</f>
        <v>2006044</v>
      </c>
      <c r="D96" s="146">
        <f t="shared" si="35"/>
        <v>23418</v>
      </c>
      <c r="E96" s="146">
        <f t="shared" si="35"/>
        <v>2029462</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1">
        <f t="shared" si="35"/>
        <v>2029462</v>
      </c>
      <c r="S96" s="150">
        <f>SUM(S84:S87,S89:S95)</f>
        <v>1763195</v>
      </c>
      <c r="T96" s="146">
        <f>SUM(T84:T87,T89:T95)</f>
        <v>0</v>
      </c>
      <c r="U96" s="143"/>
    </row>
    <row r="97" spans="1:21" s="144" customFormat="1">
      <c r="A97" s="149" t="s">
        <v>776</v>
      </c>
      <c r="B97" s="146">
        <f>SUM(C97:D97)</f>
        <v>78132835</v>
      </c>
      <c r="C97" s="146">
        <f t="shared" ref="C97:R97" si="36">SUM(C63+C70+C77+C81+C96)</f>
        <v>76896369</v>
      </c>
      <c r="D97" s="146">
        <f t="shared" si="36"/>
        <v>1236466</v>
      </c>
      <c r="E97" s="146">
        <f t="shared" si="36"/>
        <v>33282493</v>
      </c>
      <c r="F97" s="146">
        <f t="shared" si="36"/>
        <v>13812000</v>
      </c>
      <c r="G97" s="146">
        <f t="shared" si="36"/>
        <v>10000000</v>
      </c>
      <c r="H97" s="146">
        <f t="shared" si="36"/>
        <v>20000000</v>
      </c>
      <c r="I97" s="146">
        <f t="shared" si="36"/>
        <v>1038342</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78132835</v>
      </c>
      <c r="S97" s="146">
        <f>SUM(S63+S70+S81+S96)</f>
        <v>72050707</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7600000</v>
      </c>
      <c r="C99" s="978">
        <v>7466845</v>
      </c>
      <c r="D99" s="978">
        <v>133155</v>
      </c>
      <c r="E99" s="978">
        <f t="shared" ref="E99:E103" si="37">B99-SUM(F99:K99)</f>
        <v>2500000</v>
      </c>
      <c r="F99" s="147"/>
      <c r="G99" s="147"/>
      <c r="H99" s="147"/>
      <c r="I99" s="147"/>
      <c r="J99" s="147">
        <v>5100000</v>
      </c>
      <c r="K99" s="147"/>
      <c r="L99" s="147"/>
      <c r="M99" s="147"/>
      <c r="N99" s="147"/>
      <c r="O99" s="147"/>
      <c r="P99" s="147"/>
      <c r="Q99" s="147"/>
      <c r="R99" s="515">
        <f>SUM(E99:Q99)</f>
        <v>7600000</v>
      </c>
      <c r="S99" s="147">
        <f>C99</f>
        <v>7466845</v>
      </c>
      <c r="T99" s="147"/>
      <c r="U99" s="143"/>
    </row>
    <row r="100" spans="1:21" s="144" customFormat="1">
      <c r="A100" s="282" t="s">
        <v>1647</v>
      </c>
      <c r="B100" s="146">
        <f>SUM(C100+D100)</f>
        <v>0</v>
      </c>
      <c r="C100" s="147"/>
      <c r="D100" s="147"/>
      <c r="E100" s="147">
        <f t="shared" si="37"/>
        <v>0</v>
      </c>
      <c r="F100" s="147"/>
      <c r="G100" s="147"/>
      <c r="H100" s="147"/>
      <c r="I100" s="147"/>
      <c r="J100" s="147"/>
      <c r="K100" s="147"/>
      <c r="L100" s="147"/>
      <c r="M100" s="147"/>
      <c r="N100" s="147"/>
      <c r="O100" s="147"/>
      <c r="P100" s="147"/>
      <c r="Q100" s="147"/>
      <c r="R100" s="515">
        <f>SUM(E100:Q100)</f>
        <v>0</v>
      </c>
      <c r="S100" s="147"/>
      <c r="T100" s="147"/>
      <c r="U100" s="143"/>
    </row>
    <row r="101" spans="1:21" s="144" customFormat="1" ht="12" customHeight="1">
      <c r="A101" s="145" t="s">
        <v>779</v>
      </c>
      <c r="B101" s="146">
        <f>SUM(C101+D101)</f>
        <v>0</v>
      </c>
      <c r="C101" s="147"/>
      <c r="D101" s="147"/>
      <c r="E101" s="147">
        <f t="shared" si="37"/>
        <v>0</v>
      </c>
      <c r="F101" s="147"/>
      <c r="G101" s="147"/>
      <c r="H101" s="147"/>
      <c r="I101" s="147"/>
      <c r="J101" s="147"/>
      <c r="K101" s="147"/>
      <c r="L101" s="147"/>
      <c r="M101" s="147"/>
      <c r="N101" s="147"/>
      <c r="O101" s="147"/>
      <c r="P101" s="147"/>
      <c r="Q101" s="147"/>
      <c r="R101" s="515">
        <f>SUM(E101:Q101)</f>
        <v>0</v>
      </c>
      <c r="S101" s="147"/>
      <c r="T101" s="147"/>
      <c r="U101" s="143"/>
    </row>
    <row r="102" spans="1:21" s="144" customFormat="1">
      <c r="A102" s="282" t="s">
        <v>1648</v>
      </c>
      <c r="B102" s="146">
        <f>SUM(C102+D102)</f>
        <v>0</v>
      </c>
      <c r="C102" s="147"/>
      <c r="D102" s="147"/>
      <c r="E102" s="147">
        <f t="shared" si="37"/>
        <v>0</v>
      </c>
      <c r="F102" s="147"/>
      <c r="G102" s="147"/>
      <c r="H102" s="147"/>
      <c r="I102" s="147"/>
      <c r="J102" s="147"/>
      <c r="K102" s="147"/>
      <c r="L102" s="147"/>
      <c r="M102" s="147"/>
      <c r="N102" s="147"/>
      <c r="O102" s="147"/>
      <c r="P102" s="147"/>
      <c r="Q102" s="147"/>
      <c r="R102" s="515">
        <f>SUM(E102:Q102)</f>
        <v>0</v>
      </c>
      <c r="S102" s="147"/>
      <c r="T102" s="147"/>
      <c r="U102" s="143"/>
    </row>
    <row r="103" spans="1:21" s="144" customFormat="1">
      <c r="A103" s="1148" t="s">
        <v>34</v>
      </c>
      <c r="B103" s="146">
        <f>SUM(C103+D103)</f>
        <v>0</v>
      </c>
      <c r="C103" s="147"/>
      <c r="D103" s="147"/>
      <c r="E103" s="147">
        <f t="shared" si="37"/>
        <v>0</v>
      </c>
      <c r="F103" s="147"/>
      <c r="G103" s="147"/>
      <c r="H103" s="147"/>
      <c r="I103" s="147"/>
      <c r="J103" s="147"/>
      <c r="K103" s="147"/>
      <c r="L103" s="147"/>
      <c r="M103" s="147"/>
      <c r="N103" s="147"/>
      <c r="O103" s="147"/>
      <c r="P103" s="147"/>
      <c r="Q103" s="147"/>
      <c r="R103" s="515">
        <f>SUM(E103:Q103)</f>
        <v>0</v>
      </c>
      <c r="S103" s="147"/>
      <c r="T103" s="147"/>
      <c r="U103" s="143"/>
    </row>
    <row r="104" spans="1:21" s="144" customFormat="1">
      <c r="A104" s="149" t="s">
        <v>780</v>
      </c>
      <c r="B104" s="146">
        <f>SUM(C104:D104)</f>
        <v>7600000</v>
      </c>
      <c r="C104" s="146">
        <f>SUM(C99:C103)</f>
        <v>7466845</v>
      </c>
      <c r="D104" s="146">
        <f t="shared" ref="D104:T104" si="38">SUM(D99:D103)</f>
        <v>133155</v>
      </c>
      <c r="E104" s="146">
        <f t="shared" si="38"/>
        <v>2500000</v>
      </c>
      <c r="F104" s="146">
        <f t="shared" si="38"/>
        <v>0</v>
      </c>
      <c r="G104" s="146">
        <f t="shared" si="38"/>
        <v>0</v>
      </c>
      <c r="H104" s="146">
        <f t="shared" si="38"/>
        <v>0</v>
      </c>
      <c r="I104" s="146">
        <f t="shared" si="38"/>
        <v>0</v>
      </c>
      <c r="J104" s="146">
        <f t="shared" si="38"/>
        <v>5100000</v>
      </c>
      <c r="K104" s="146">
        <f t="shared" si="38"/>
        <v>0</v>
      </c>
      <c r="L104" s="146">
        <f t="shared" si="38"/>
        <v>0</v>
      </c>
      <c r="M104" s="146">
        <f t="shared" si="38"/>
        <v>0</v>
      </c>
      <c r="N104" s="146">
        <f t="shared" si="38"/>
        <v>0</v>
      </c>
      <c r="O104" s="146">
        <f t="shared" si="38"/>
        <v>0</v>
      </c>
      <c r="P104" s="146">
        <f t="shared" si="38"/>
        <v>0</v>
      </c>
      <c r="Q104" s="146">
        <f t="shared" si="38"/>
        <v>0</v>
      </c>
      <c r="R104" s="341">
        <f t="shared" si="38"/>
        <v>7600000</v>
      </c>
      <c r="S104" s="150">
        <f t="shared" si="38"/>
        <v>7466845</v>
      </c>
      <c r="T104" s="150">
        <f t="shared" si="38"/>
        <v>0</v>
      </c>
      <c r="U104" s="143"/>
    </row>
    <row r="105" spans="1:21" s="144" customFormat="1">
      <c r="A105" s="149" t="s">
        <v>781</v>
      </c>
      <c r="B105" s="150">
        <f>SUM(C105:D105)</f>
        <v>85732835</v>
      </c>
      <c r="C105" s="150">
        <f t="shared" ref="C105:R105" si="39">SUM(C97+C104)</f>
        <v>84363214</v>
      </c>
      <c r="D105" s="150">
        <f t="shared" si="39"/>
        <v>1369621</v>
      </c>
      <c r="E105" s="150">
        <f t="shared" si="39"/>
        <v>35782493</v>
      </c>
      <c r="F105" s="150">
        <f t="shared" si="39"/>
        <v>13812000</v>
      </c>
      <c r="G105" s="150">
        <f t="shared" si="39"/>
        <v>10000000</v>
      </c>
      <c r="H105" s="150">
        <f t="shared" si="39"/>
        <v>20000000</v>
      </c>
      <c r="I105" s="150">
        <f t="shared" si="39"/>
        <v>1038342</v>
      </c>
      <c r="J105" s="150">
        <f t="shared" si="39"/>
        <v>5100000</v>
      </c>
      <c r="K105" s="150">
        <f t="shared" si="39"/>
        <v>0</v>
      </c>
      <c r="L105" s="150">
        <f t="shared" si="39"/>
        <v>0</v>
      </c>
      <c r="M105" s="150">
        <f t="shared" si="39"/>
        <v>0</v>
      </c>
      <c r="N105" s="150">
        <f t="shared" si="39"/>
        <v>0</v>
      </c>
      <c r="O105" s="150">
        <f t="shared" si="39"/>
        <v>0</v>
      </c>
      <c r="P105" s="150">
        <f t="shared" si="39"/>
        <v>0</v>
      </c>
      <c r="Q105" s="150">
        <f t="shared" si="39"/>
        <v>0</v>
      </c>
      <c r="R105" s="341">
        <f t="shared" si="39"/>
        <v>85732835</v>
      </c>
      <c r="S105" s="150">
        <f>S97+S104</f>
        <v>79517552</v>
      </c>
      <c r="T105" s="150">
        <f>T97+T104</f>
        <v>0</v>
      </c>
      <c r="U105" s="143"/>
    </row>
    <row r="106" spans="1:21">
      <c r="A106" s="513"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79517552</v>
      </c>
      <c r="T107" s="150">
        <f>T105+T106</f>
        <v>0</v>
      </c>
    </row>
    <row r="108" spans="1:21" s="189" customFormat="1">
      <c r="A108" s="162" t="s">
        <v>880</v>
      </c>
      <c r="B108" s="157"/>
      <c r="C108" s="157"/>
      <c r="D108" s="157"/>
      <c r="E108" s="300">
        <f>Application!AO640</f>
        <v>35782493</v>
      </c>
      <c r="F108" s="300">
        <f>Application!AO627</f>
        <v>13812000</v>
      </c>
      <c r="G108" s="300">
        <f>Application!AO628</f>
        <v>10000000</v>
      </c>
      <c r="H108" s="300">
        <f>Application!AO629</f>
        <v>20000000</v>
      </c>
      <c r="I108" s="300">
        <f>Application!AO630</f>
        <v>1038342</v>
      </c>
      <c r="J108" s="300">
        <f>Application!AO631</f>
        <v>5100000</v>
      </c>
      <c r="K108" s="300">
        <f>Application!AO632</f>
        <v>0</v>
      </c>
      <c r="L108" s="300">
        <f>Application!AO633</f>
        <v>0</v>
      </c>
      <c r="M108" s="300">
        <f>Application!AO634</f>
        <v>0</v>
      </c>
      <c r="N108" s="300">
        <f>Application!AO635</f>
        <v>0</v>
      </c>
      <c r="O108" s="300">
        <f>Application!AO636</f>
        <v>0</v>
      </c>
      <c r="P108" s="300">
        <f>Application!AO637</f>
        <v>0</v>
      </c>
      <c r="Q108" s="300">
        <f>Application!AO638</f>
        <v>0</v>
      </c>
      <c r="R108" s="158"/>
      <c r="S108" s="158"/>
      <c r="T108" s="158"/>
      <c r="U108" s="188"/>
    </row>
    <row r="109" spans="1:21" ht="10.3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1"/>
      <c r="B112" s="157"/>
      <c r="C112" s="157"/>
      <c r="D112" s="157"/>
    </row>
    <row r="113" spans="1:21">
      <c r="A113" s="156" t="s">
        <v>1020</v>
      </c>
      <c r="B113" s="157"/>
      <c r="C113" s="157"/>
      <c r="D113" s="157"/>
    </row>
    <row r="114" spans="1:21">
      <c r="A114" s="156" t="s">
        <v>2097</v>
      </c>
      <c r="B114" s="157"/>
      <c r="C114" s="157"/>
      <c r="D114" s="157"/>
    </row>
    <row r="115" spans="1:21" ht="12" customHeight="1">
      <c r="A115" s="311"/>
      <c r="B115" s="157"/>
      <c r="C115" s="157"/>
      <c r="D115" s="157"/>
    </row>
    <row r="116" spans="1:21">
      <c r="A116" s="344" t="s">
        <v>1023</v>
      </c>
      <c r="B116" s="157"/>
      <c r="C116" s="157"/>
      <c r="D116" s="157"/>
    </row>
    <row r="117" spans="1:21">
      <c r="A117" s="344" t="s">
        <v>1224</v>
      </c>
      <c r="B117" s="157"/>
      <c r="C117" s="157"/>
      <c r="D117" s="157"/>
    </row>
    <row r="118" spans="1:21">
      <c r="A118" s="344" t="s">
        <v>1022</v>
      </c>
      <c r="B118" s="157"/>
      <c r="C118" s="157"/>
      <c r="D118" s="157"/>
    </row>
    <row r="119" spans="1:21">
      <c r="A119" s="344" t="s">
        <v>1024</v>
      </c>
      <c r="B119" s="157"/>
      <c r="C119" s="157"/>
      <c r="D119" s="157"/>
    </row>
    <row r="120" spans="1:21" ht="12" customHeight="1">
      <c r="A120" s="343"/>
      <c r="B120" s="157"/>
      <c r="C120" s="157"/>
      <c r="D120" s="157"/>
    </row>
    <row r="121" spans="1:21" ht="15.75">
      <c r="A121" s="337" t="s">
        <v>1006</v>
      </c>
      <c r="B121" s="157"/>
      <c r="C121" s="157"/>
      <c r="D121" s="157"/>
    </row>
    <row r="122" spans="1:21">
      <c r="A122" s="324" t="s">
        <v>990</v>
      </c>
      <c r="B122" s="323"/>
      <c r="C122" s="323"/>
      <c r="D122" s="1879" t="s">
        <v>991</v>
      </c>
      <c r="E122" s="1879"/>
      <c r="F122" s="1879"/>
      <c r="G122" s="323"/>
      <c r="H122" s="323"/>
      <c r="I122" s="323"/>
      <c r="J122" s="323"/>
      <c r="K122" s="323"/>
      <c r="L122" s="323"/>
      <c r="M122" s="323"/>
      <c r="N122" s="323"/>
      <c r="O122" s="323"/>
      <c r="P122" s="323"/>
      <c r="Q122" s="323"/>
      <c r="R122" s="323"/>
      <c r="S122" s="323"/>
      <c r="T122" s="323"/>
      <c r="U122" s="325"/>
    </row>
    <row r="123" spans="1:21">
      <c r="A123" s="323" t="s">
        <v>992</v>
      </c>
      <c r="B123" s="332"/>
      <c r="C123" s="323"/>
      <c r="D123" s="1881" t="s">
        <v>1225</v>
      </c>
      <c r="E123" s="1798"/>
      <c r="F123" s="1798"/>
      <c r="G123" s="1798"/>
      <c r="H123" s="1798"/>
      <c r="I123" s="1798"/>
      <c r="J123" s="1798"/>
      <c r="K123" s="1798"/>
      <c r="L123" s="1798"/>
      <c r="M123" s="1798"/>
      <c r="N123" s="1798"/>
      <c r="O123" s="1798"/>
      <c r="P123" s="1798"/>
      <c r="Q123" s="1798"/>
      <c r="R123" s="1798"/>
      <c r="S123" s="1798"/>
      <c r="T123" s="323"/>
      <c r="U123" s="325"/>
    </row>
    <row r="124" spans="1:21" ht="12.75">
      <c r="A124" s="117" t="s">
        <v>993</v>
      </c>
      <c r="B124" s="332"/>
      <c r="C124" s="117"/>
      <c r="D124" s="1798"/>
      <c r="E124" s="1798"/>
      <c r="F124" s="1798"/>
      <c r="G124" s="1798"/>
      <c r="H124" s="1798"/>
      <c r="I124" s="1798"/>
      <c r="J124" s="1798"/>
      <c r="K124" s="1798"/>
      <c r="L124" s="1798"/>
      <c r="M124" s="1798"/>
      <c r="N124" s="1798"/>
      <c r="O124" s="1798"/>
      <c r="P124" s="1798"/>
      <c r="Q124" s="1798"/>
      <c r="R124" s="1798"/>
      <c r="S124" s="1798"/>
      <c r="T124" s="323"/>
      <c r="U124" s="325"/>
    </row>
    <row r="125" spans="1:21" ht="12.75">
      <c r="A125" s="117" t="s">
        <v>994</v>
      </c>
      <c r="B125" s="332"/>
      <c r="C125" s="117"/>
      <c r="D125" s="1798"/>
      <c r="E125" s="1798"/>
      <c r="F125" s="1798"/>
      <c r="G125" s="1798"/>
      <c r="H125" s="1798"/>
      <c r="I125" s="1798"/>
      <c r="J125" s="1798"/>
      <c r="K125" s="1798"/>
      <c r="L125" s="1798"/>
      <c r="M125" s="1798"/>
      <c r="N125" s="1798"/>
      <c r="O125" s="1798"/>
      <c r="P125" s="1798"/>
      <c r="Q125" s="1798"/>
      <c r="R125" s="1798"/>
      <c r="S125" s="1798"/>
      <c r="T125" s="323"/>
      <c r="U125" s="325"/>
    </row>
    <row r="126" spans="1:21" ht="12.75">
      <c r="A126" s="117" t="s">
        <v>995</v>
      </c>
      <c r="B126" s="332"/>
      <c r="C126" s="117"/>
      <c r="D126" s="116"/>
      <c r="E126" s="116"/>
      <c r="F126" s="116"/>
      <c r="G126" s="116"/>
      <c r="H126" s="116"/>
      <c r="I126" s="116"/>
      <c r="J126" s="116"/>
      <c r="K126" s="116"/>
      <c r="L126" s="116"/>
      <c r="M126" s="116"/>
      <c r="N126" s="116"/>
      <c r="O126" s="117"/>
      <c r="P126" s="117"/>
      <c r="Q126" s="117"/>
      <c r="R126" s="117"/>
      <c r="S126" s="117"/>
      <c r="T126" s="323"/>
      <c r="U126" s="325"/>
    </row>
    <row r="127" spans="1:21" ht="12.75">
      <c r="A127" s="117" t="s">
        <v>996</v>
      </c>
      <c r="B127" s="332"/>
      <c r="C127" s="117"/>
      <c r="D127" s="116"/>
      <c r="E127" s="116"/>
      <c r="F127" s="116"/>
      <c r="G127" s="116"/>
      <c r="H127" s="116"/>
      <c r="I127" s="116"/>
      <c r="J127" s="116"/>
      <c r="K127" s="116"/>
      <c r="L127" s="116"/>
      <c r="M127" s="116"/>
      <c r="N127" s="116"/>
      <c r="O127" s="117"/>
      <c r="P127" s="117"/>
      <c r="Q127" s="117"/>
      <c r="R127" s="117"/>
      <c r="S127" s="117"/>
      <c r="T127" s="323"/>
      <c r="U127" s="325"/>
    </row>
    <row r="128" spans="1:21" ht="12.75">
      <c r="A128" s="117" t="s">
        <v>997</v>
      </c>
      <c r="B128" s="332"/>
      <c r="C128" s="117"/>
      <c r="D128" s="1876"/>
      <c r="E128" s="1876"/>
      <c r="F128" s="1876"/>
      <c r="G128" s="1876"/>
      <c r="H128" s="1876"/>
      <c r="I128" s="117"/>
      <c r="J128" s="1877"/>
      <c r="K128" s="1877"/>
      <c r="L128" s="117"/>
      <c r="M128" s="117"/>
      <c r="N128" s="117"/>
      <c r="O128" s="117"/>
      <c r="P128" s="117"/>
      <c r="Q128" s="117"/>
      <c r="R128" s="117"/>
      <c r="S128" s="117"/>
      <c r="T128" s="323"/>
      <c r="U128" s="325"/>
    </row>
    <row r="129" spans="1:21" ht="12.75">
      <c r="A129" s="117" t="s">
        <v>300</v>
      </c>
      <c r="B129" s="332"/>
      <c r="C129" s="117"/>
      <c r="D129" s="1878" t="s">
        <v>998</v>
      </c>
      <c r="E129" s="1878"/>
      <c r="F129" s="1878"/>
      <c r="G129" s="1878"/>
      <c r="H129" s="1878"/>
      <c r="I129" s="117"/>
      <c r="J129" s="117" t="s">
        <v>999</v>
      </c>
      <c r="K129" s="117"/>
      <c r="L129" s="117"/>
      <c r="M129" s="117"/>
      <c r="N129" s="117"/>
      <c r="O129" s="117"/>
      <c r="P129" s="117"/>
      <c r="Q129" s="117"/>
      <c r="R129" s="117"/>
      <c r="S129" s="117"/>
      <c r="T129" s="323"/>
      <c r="U129" s="325"/>
    </row>
    <row r="130" spans="1:21" ht="12" customHeight="1">
      <c r="A130" s="117"/>
      <c r="B130" s="331"/>
      <c r="C130" s="117"/>
      <c r="D130" s="117"/>
      <c r="E130" s="117"/>
      <c r="F130" s="117"/>
      <c r="G130" s="117"/>
      <c r="H130" s="117"/>
      <c r="I130" s="117"/>
      <c r="J130" s="117"/>
      <c r="K130" s="117"/>
      <c r="L130" s="117"/>
      <c r="M130" s="117"/>
      <c r="N130" s="117"/>
      <c r="O130" s="117"/>
      <c r="P130" s="117"/>
      <c r="Q130" s="117"/>
      <c r="R130" s="117"/>
      <c r="S130" s="117"/>
      <c r="T130" s="323"/>
      <c r="U130" s="325"/>
    </row>
    <row r="131" spans="1:21" ht="12.75">
      <c r="A131" s="334" t="s">
        <v>1000</v>
      </c>
      <c r="B131" s="333">
        <f>SUM(B123:B129)</f>
        <v>0</v>
      </c>
      <c r="C131" s="117"/>
      <c r="D131" s="1779"/>
      <c r="E131" s="1779"/>
      <c r="F131" s="1779"/>
      <c r="G131" s="1779"/>
      <c r="H131" s="1779"/>
      <c r="I131" s="117"/>
      <c r="J131" s="1779"/>
      <c r="K131" s="1779"/>
      <c r="L131" s="1779"/>
      <c r="M131" s="1779"/>
      <c r="N131" s="117"/>
      <c r="O131" s="117"/>
      <c r="P131" s="117"/>
      <c r="Q131" s="117"/>
      <c r="R131" s="117"/>
      <c r="S131" s="117"/>
      <c r="T131" s="323"/>
      <c r="U131" s="325"/>
    </row>
    <row r="132" spans="1:21" ht="12" customHeight="1">
      <c r="A132" s="335"/>
      <c r="B132" s="117"/>
      <c r="C132" s="117"/>
      <c r="D132" s="1882" t="s">
        <v>1001</v>
      </c>
      <c r="E132" s="1882"/>
      <c r="F132" s="1882"/>
      <c r="G132" s="1882"/>
      <c r="H132" s="1882"/>
      <c r="I132" s="117"/>
      <c r="J132" s="1882" t="s">
        <v>1002</v>
      </c>
      <c r="K132" s="1882"/>
      <c r="L132" s="1882"/>
      <c r="M132" s="1882"/>
      <c r="N132" s="117"/>
      <c r="O132" s="117"/>
      <c r="P132" s="117"/>
      <c r="Q132" s="117"/>
      <c r="R132" s="117"/>
      <c r="S132" s="117"/>
      <c r="T132" s="323"/>
      <c r="U132" s="325"/>
    </row>
    <row r="133" spans="1:21" ht="12" customHeight="1">
      <c r="A133" s="335"/>
      <c r="B133" s="117"/>
      <c r="C133" s="117"/>
      <c r="D133" s="117"/>
      <c r="E133" s="117"/>
      <c r="F133" s="117"/>
      <c r="G133" s="117"/>
      <c r="H133" s="117"/>
      <c r="I133" s="117"/>
      <c r="J133" s="117"/>
      <c r="K133" s="117"/>
      <c r="L133" s="117"/>
      <c r="M133" s="117"/>
      <c r="N133" s="117"/>
      <c r="O133" s="117"/>
      <c r="P133" s="117"/>
      <c r="Q133" s="117"/>
      <c r="R133" s="117"/>
      <c r="S133" s="117"/>
      <c r="T133" s="323"/>
      <c r="U133" s="325"/>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3"/>
      <c r="U134" s="325"/>
    </row>
    <row r="135" spans="1:21" ht="12.75">
      <c r="A135" s="311" t="s">
        <v>1004</v>
      </c>
      <c r="B135" s="117"/>
      <c r="C135" s="117"/>
      <c r="D135" s="117"/>
      <c r="E135" s="117"/>
      <c r="F135" s="117"/>
      <c r="G135" s="117"/>
      <c r="H135" s="117"/>
      <c r="I135" s="117"/>
      <c r="J135" s="117"/>
      <c r="K135" s="117"/>
      <c r="L135" s="117"/>
      <c r="M135" s="117"/>
      <c r="N135" s="336"/>
      <c r="O135" s="117"/>
      <c r="P135" s="117"/>
      <c r="Q135" s="117"/>
      <c r="R135" s="117"/>
      <c r="S135" s="117"/>
      <c r="T135" s="323"/>
      <c r="U135" s="325"/>
    </row>
    <row r="136" spans="1:21" ht="12" customHeight="1">
      <c r="A136" s="335"/>
      <c r="B136" s="117"/>
      <c r="C136" s="117"/>
      <c r="D136" s="117"/>
      <c r="E136" s="117"/>
      <c r="F136" s="117"/>
      <c r="G136" s="117"/>
      <c r="H136" s="117"/>
      <c r="I136" s="117"/>
      <c r="J136" s="117"/>
      <c r="K136" s="117"/>
      <c r="L136" s="117"/>
      <c r="M136" s="117"/>
      <c r="N136" s="117"/>
      <c r="O136" s="117"/>
      <c r="P136" s="117"/>
      <c r="Q136" s="117"/>
      <c r="R136" s="117"/>
      <c r="S136" s="117"/>
      <c r="T136" s="329"/>
      <c r="U136" s="330"/>
    </row>
    <row r="137" spans="1:21" ht="12.75">
      <c r="A137" s="335"/>
      <c r="B137" s="117"/>
      <c r="C137" s="117"/>
      <c r="D137" s="117"/>
      <c r="E137" s="117"/>
      <c r="F137" s="117"/>
      <c r="G137" s="117"/>
      <c r="H137" s="117"/>
      <c r="I137" s="117"/>
      <c r="J137" s="117"/>
      <c r="K137" s="117"/>
      <c r="L137" s="117"/>
      <c r="M137" s="117"/>
      <c r="N137" s="117"/>
      <c r="O137" s="117"/>
      <c r="P137" s="117"/>
      <c r="Q137" s="117"/>
      <c r="R137" s="117"/>
      <c r="S137" s="117"/>
      <c r="T137" s="329"/>
      <c r="U137" s="330"/>
    </row>
    <row r="138" spans="1:21" ht="12" customHeight="1">
      <c r="A138" s="1883"/>
      <c r="B138" s="1876"/>
      <c r="C138" s="1876"/>
      <c r="D138" s="327"/>
      <c r="E138" s="1877"/>
      <c r="F138" s="1877"/>
      <c r="G138" s="117"/>
      <c r="H138" s="117"/>
      <c r="I138" s="117"/>
      <c r="J138" s="117"/>
      <c r="K138" s="117"/>
      <c r="L138" s="117"/>
      <c r="M138" s="117"/>
      <c r="N138" s="117"/>
      <c r="O138" s="117"/>
      <c r="P138" s="117"/>
      <c r="Q138" s="117"/>
      <c r="R138" s="117"/>
      <c r="S138" s="117"/>
      <c r="T138" s="329"/>
      <c r="U138" s="330"/>
    </row>
    <row r="139" spans="1:21" ht="12.75">
      <c r="A139" s="1880" t="s">
        <v>1005</v>
      </c>
      <c r="B139" s="1880"/>
      <c r="C139" s="1880"/>
      <c r="D139" s="327"/>
      <c r="E139" s="117" t="s">
        <v>999</v>
      </c>
      <c r="F139" s="117"/>
      <c r="G139" s="117"/>
      <c r="H139" s="117"/>
      <c r="I139" s="117"/>
      <c r="J139" s="117"/>
      <c r="K139" s="117"/>
      <c r="L139" s="117"/>
      <c r="M139" s="117"/>
      <c r="N139" s="117"/>
      <c r="O139" s="117"/>
      <c r="P139" s="117"/>
      <c r="Q139" s="117"/>
      <c r="R139" s="117"/>
      <c r="S139" s="117"/>
      <c r="T139" s="329"/>
      <c r="U139" s="330"/>
    </row>
    <row r="140" spans="1:21" ht="12.75">
      <c r="A140" s="335"/>
      <c r="B140" s="117"/>
      <c r="C140" s="117"/>
      <c r="D140" s="327"/>
      <c r="E140" s="117"/>
      <c r="F140" s="117"/>
      <c r="G140" s="117"/>
      <c r="H140" s="117"/>
      <c r="I140" s="117"/>
      <c r="J140" s="117"/>
      <c r="K140" s="117"/>
      <c r="L140" s="117"/>
      <c r="M140" s="117"/>
      <c r="N140" s="117"/>
      <c r="O140" s="117"/>
      <c r="P140" s="117"/>
      <c r="Q140" s="117"/>
      <c r="R140" s="117"/>
      <c r="S140" s="117"/>
      <c r="T140" s="326"/>
      <c r="U140" s="328"/>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6" customWidth="1"/>
    <col min="2" max="3" width="12.140625" style="392" customWidth="1"/>
    <col min="4" max="6" width="12.85546875" style="392" customWidth="1"/>
    <col min="7" max="9" width="12.140625" style="392" customWidth="1"/>
    <col min="10" max="10" width="12.140625" style="393" customWidth="1"/>
    <col min="11" max="11" width="8.85546875" style="394" hidden="1" customWidth="1"/>
    <col min="12" max="21" width="8.85546875" style="392" hidden="1" customWidth="1"/>
    <col min="22" max="23" width="0" style="392" hidden="1"/>
    <col min="24" max="256" width="8.85546875" style="392" hidden="1"/>
    <col min="257" max="257" width="32.7109375" style="392" hidden="1" customWidth="1"/>
    <col min="258" max="259" width="12.140625" style="392" hidden="1" customWidth="1"/>
    <col min="260" max="260" width="12.85546875" style="392" hidden="1" customWidth="1"/>
    <col min="261" max="266" width="12.140625" style="392" hidden="1" customWidth="1"/>
    <col min="267" max="277" width="8.85546875" style="392" hidden="1" customWidth="1"/>
    <col min="278" max="512" width="8.85546875" style="392" hidden="1"/>
    <col min="513" max="513" width="32.7109375" style="392" hidden="1" customWidth="1"/>
    <col min="514" max="515" width="12.140625" style="392" hidden="1" customWidth="1"/>
    <col min="516" max="516" width="12.85546875" style="392" hidden="1" customWidth="1"/>
    <col min="517" max="522" width="12.140625" style="392" hidden="1" customWidth="1"/>
    <col min="523" max="533" width="8.85546875" style="392" hidden="1" customWidth="1"/>
    <col min="534" max="768" width="8.85546875" style="392" hidden="1"/>
    <col min="769" max="769" width="32.7109375" style="392" hidden="1" customWidth="1"/>
    <col min="770" max="771" width="12.140625" style="392" hidden="1" customWidth="1"/>
    <col min="772" max="772" width="12.85546875" style="392" hidden="1" customWidth="1"/>
    <col min="773" max="778" width="12.140625" style="392" hidden="1" customWidth="1"/>
    <col min="779" max="789" width="8.85546875" style="392" hidden="1" customWidth="1"/>
    <col min="790" max="1024" width="8.85546875" style="392" hidden="1"/>
    <col min="1025" max="1025" width="32.7109375" style="392" hidden="1" customWidth="1"/>
    <col min="1026" max="1027" width="12.140625" style="392" hidden="1" customWidth="1"/>
    <col min="1028" max="1028" width="12.85546875" style="392" hidden="1" customWidth="1"/>
    <col min="1029" max="1034" width="12.140625" style="392" hidden="1" customWidth="1"/>
    <col min="1035" max="1045" width="8.85546875" style="392" hidden="1" customWidth="1"/>
    <col min="1046" max="1280" width="8.85546875" style="392" hidden="1"/>
    <col min="1281" max="1281" width="32.7109375" style="392" hidden="1" customWidth="1"/>
    <col min="1282" max="1283" width="12.140625" style="392" hidden="1" customWidth="1"/>
    <col min="1284" max="1284" width="12.85546875" style="392" hidden="1" customWidth="1"/>
    <col min="1285" max="1290" width="12.140625" style="392" hidden="1" customWidth="1"/>
    <col min="1291" max="1301" width="8.85546875" style="392" hidden="1" customWidth="1"/>
    <col min="1302" max="1536" width="8.85546875" style="392" hidden="1"/>
    <col min="1537" max="1537" width="32.7109375" style="392" hidden="1" customWidth="1"/>
    <col min="1538" max="1539" width="12.140625" style="392" hidden="1" customWidth="1"/>
    <col min="1540" max="1540" width="12.85546875" style="392" hidden="1" customWidth="1"/>
    <col min="1541" max="1546" width="12.140625" style="392" hidden="1" customWidth="1"/>
    <col min="1547" max="1557" width="8.85546875" style="392" hidden="1" customWidth="1"/>
    <col min="1558" max="1792" width="8.85546875" style="392" hidden="1"/>
    <col min="1793" max="1793" width="32.7109375" style="392" hidden="1" customWidth="1"/>
    <col min="1794" max="1795" width="12.140625" style="392" hidden="1" customWidth="1"/>
    <col min="1796" max="1796" width="12.85546875" style="392" hidden="1" customWidth="1"/>
    <col min="1797" max="1802" width="12.140625" style="392" hidden="1" customWidth="1"/>
    <col min="1803" max="1813" width="8.85546875" style="392" hidden="1" customWidth="1"/>
    <col min="1814" max="2048" width="8.85546875" style="392" hidden="1"/>
    <col min="2049" max="2049" width="32.7109375" style="392" hidden="1" customWidth="1"/>
    <col min="2050" max="2051" width="12.140625" style="392" hidden="1" customWidth="1"/>
    <col min="2052" max="2052" width="12.85546875" style="392" hidden="1" customWidth="1"/>
    <col min="2053" max="2058" width="12.140625" style="392" hidden="1" customWidth="1"/>
    <col min="2059" max="2069" width="8.85546875" style="392" hidden="1" customWidth="1"/>
    <col min="2070" max="2304" width="8.85546875" style="392" hidden="1"/>
    <col min="2305" max="2305" width="32.7109375" style="392" hidden="1" customWidth="1"/>
    <col min="2306" max="2307" width="12.140625" style="392" hidden="1" customWidth="1"/>
    <col min="2308" max="2308" width="12.85546875" style="392" hidden="1" customWidth="1"/>
    <col min="2309" max="2314" width="12.140625" style="392" hidden="1" customWidth="1"/>
    <col min="2315" max="2325" width="8.85546875" style="392" hidden="1" customWidth="1"/>
    <col min="2326" max="2560" width="8.85546875" style="392" hidden="1"/>
    <col min="2561" max="2561" width="32.7109375" style="392" hidden="1" customWidth="1"/>
    <col min="2562" max="2563" width="12.140625" style="392" hidden="1" customWidth="1"/>
    <col min="2564" max="2564" width="12.85546875" style="392" hidden="1" customWidth="1"/>
    <col min="2565" max="2570" width="12.140625" style="392" hidden="1" customWidth="1"/>
    <col min="2571" max="2581" width="8.85546875" style="392" hidden="1" customWidth="1"/>
    <col min="2582" max="2816" width="8.85546875" style="392" hidden="1"/>
    <col min="2817" max="2817" width="32.7109375" style="392" hidden="1" customWidth="1"/>
    <col min="2818" max="2819" width="12.140625" style="392" hidden="1" customWidth="1"/>
    <col min="2820" max="2820" width="12.85546875" style="392" hidden="1" customWidth="1"/>
    <col min="2821" max="2826" width="12.140625" style="392" hidden="1" customWidth="1"/>
    <col min="2827" max="2837" width="8.85546875" style="392" hidden="1" customWidth="1"/>
    <col min="2838" max="3072" width="8.85546875" style="392" hidden="1"/>
    <col min="3073" max="3073" width="32.7109375" style="392" hidden="1" customWidth="1"/>
    <col min="3074" max="3075" width="12.140625" style="392" hidden="1" customWidth="1"/>
    <col min="3076" max="3076" width="12.85546875" style="392" hidden="1" customWidth="1"/>
    <col min="3077" max="3082" width="12.140625" style="392" hidden="1" customWidth="1"/>
    <col min="3083" max="3093" width="8.85546875" style="392" hidden="1" customWidth="1"/>
    <col min="3094" max="3328" width="8.85546875" style="392" hidden="1"/>
    <col min="3329" max="3329" width="32.7109375" style="392" hidden="1" customWidth="1"/>
    <col min="3330" max="3331" width="12.140625" style="392" hidden="1" customWidth="1"/>
    <col min="3332" max="3332" width="12.85546875" style="392" hidden="1" customWidth="1"/>
    <col min="3333" max="3338" width="12.140625" style="392" hidden="1" customWidth="1"/>
    <col min="3339" max="3349" width="8.85546875" style="392" hidden="1" customWidth="1"/>
    <col min="3350" max="3584" width="8.85546875" style="392" hidden="1"/>
    <col min="3585" max="3585" width="32.7109375" style="392" hidden="1" customWidth="1"/>
    <col min="3586" max="3587" width="12.140625" style="392" hidden="1" customWidth="1"/>
    <col min="3588" max="3588" width="12.85546875" style="392" hidden="1" customWidth="1"/>
    <col min="3589" max="3594" width="12.140625" style="392" hidden="1" customWidth="1"/>
    <col min="3595" max="3605" width="8.85546875" style="392" hidden="1" customWidth="1"/>
    <col min="3606" max="3840" width="8.85546875" style="392" hidden="1"/>
    <col min="3841" max="3841" width="32.7109375" style="392" hidden="1" customWidth="1"/>
    <col min="3842" max="3843" width="12.140625" style="392" hidden="1" customWidth="1"/>
    <col min="3844" max="3844" width="12.85546875" style="392" hidden="1" customWidth="1"/>
    <col min="3845" max="3850" width="12.140625" style="392" hidden="1" customWidth="1"/>
    <col min="3851" max="3861" width="8.85546875" style="392" hidden="1" customWidth="1"/>
    <col min="3862" max="4096" width="8.85546875" style="392" hidden="1"/>
    <col min="4097" max="4097" width="32.7109375" style="392" hidden="1" customWidth="1"/>
    <col min="4098" max="4099" width="12.140625" style="392" hidden="1" customWidth="1"/>
    <col min="4100" max="4100" width="12.85546875" style="392" hidden="1" customWidth="1"/>
    <col min="4101" max="4106" width="12.140625" style="392" hidden="1" customWidth="1"/>
    <col min="4107" max="4117" width="8.85546875" style="392" hidden="1" customWidth="1"/>
    <col min="4118" max="4352" width="8.85546875" style="392" hidden="1"/>
    <col min="4353" max="4353" width="32.7109375" style="392" hidden="1" customWidth="1"/>
    <col min="4354" max="4355" width="12.140625" style="392" hidden="1" customWidth="1"/>
    <col min="4356" max="4356" width="12.85546875" style="392" hidden="1" customWidth="1"/>
    <col min="4357" max="4362" width="12.140625" style="392" hidden="1" customWidth="1"/>
    <col min="4363" max="4373" width="8.85546875" style="392" hidden="1" customWidth="1"/>
    <col min="4374" max="4608" width="8.85546875" style="392" hidden="1"/>
    <col min="4609" max="4609" width="32.7109375" style="392" hidden="1" customWidth="1"/>
    <col min="4610" max="4611" width="12.140625" style="392" hidden="1" customWidth="1"/>
    <col min="4612" max="4612" width="12.85546875" style="392" hidden="1" customWidth="1"/>
    <col min="4613" max="4618" width="12.140625" style="392" hidden="1" customWidth="1"/>
    <col min="4619" max="4629" width="8.85546875" style="392" hidden="1" customWidth="1"/>
    <col min="4630" max="4864" width="8.85546875" style="392" hidden="1"/>
    <col min="4865" max="4865" width="32.7109375" style="392" hidden="1" customWidth="1"/>
    <col min="4866" max="4867" width="12.140625" style="392" hidden="1" customWidth="1"/>
    <col min="4868" max="4868" width="12.85546875" style="392" hidden="1" customWidth="1"/>
    <col min="4869" max="4874" width="12.140625" style="392" hidden="1" customWidth="1"/>
    <col min="4875" max="4885" width="8.85546875" style="392" hidden="1" customWidth="1"/>
    <col min="4886" max="5120" width="8.85546875" style="392" hidden="1"/>
    <col min="5121" max="5121" width="32.7109375" style="392" hidden="1" customWidth="1"/>
    <col min="5122" max="5123" width="12.140625" style="392" hidden="1" customWidth="1"/>
    <col min="5124" max="5124" width="12.85546875" style="392" hidden="1" customWidth="1"/>
    <col min="5125" max="5130" width="12.140625" style="392" hidden="1" customWidth="1"/>
    <col min="5131" max="5141" width="8.85546875" style="392" hidden="1" customWidth="1"/>
    <col min="5142" max="5376" width="8.85546875" style="392" hidden="1"/>
    <col min="5377" max="5377" width="32.7109375" style="392" hidden="1" customWidth="1"/>
    <col min="5378" max="5379" width="12.140625" style="392" hidden="1" customWidth="1"/>
    <col min="5380" max="5380" width="12.85546875" style="392" hidden="1" customWidth="1"/>
    <col min="5381" max="5386" width="12.140625" style="392" hidden="1" customWidth="1"/>
    <col min="5387" max="5397" width="8.85546875" style="392" hidden="1" customWidth="1"/>
    <col min="5398" max="5632" width="8.85546875" style="392" hidden="1"/>
    <col min="5633" max="5633" width="32.7109375" style="392" hidden="1" customWidth="1"/>
    <col min="5634" max="5635" width="12.140625" style="392" hidden="1" customWidth="1"/>
    <col min="5636" max="5636" width="12.85546875" style="392" hidden="1" customWidth="1"/>
    <col min="5637" max="5642" width="12.140625" style="392" hidden="1" customWidth="1"/>
    <col min="5643" max="5653" width="8.85546875" style="392" hidden="1" customWidth="1"/>
    <col min="5654" max="5888" width="8.85546875" style="392" hidden="1"/>
    <col min="5889" max="5889" width="32.7109375" style="392" hidden="1" customWidth="1"/>
    <col min="5890" max="5891" width="12.140625" style="392" hidden="1" customWidth="1"/>
    <col min="5892" max="5892" width="12.85546875" style="392" hidden="1" customWidth="1"/>
    <col min="5893" max="5898" width="12.140625" style="392" hidden="1" customWidth="1"/>
    <col min="5899" max="5909" width="8.85546875" style="392" hidden="1" customWidth="1"/>
    <col min="5910" max="6144" width="8.85546875" style="392" hidden="1"/>
    <col min="6145" max="6145" width="32.7109375" style="392" hidden="1" customWidth="1"/>
    <col min="6146" max="6147" width="12.140625" style="392" hidden="1" customWidth="1"/>
    <col min="6148" max="6148" width="12.85546875" style="392" hidden="1" customWidth="1"/>
    <col min="6149" max="6154" width="12.140625" style="392" hidden="1" customWidth="1"/>
    <col min="6155" max="6165" width="8.85546875" style="392" hidden="1" customWidth="1"/>
    <col min="6166" max="6400" width="8.85546875" style="392" hidden="1"/>
    <col min="6401" max="6401" width="32.7109375" style="392" hidden="1" customWidth="1"/>
    <col min="6402" max="6403" width="12.140625" style="392" hidden="1" customWidth="1"/>
    <col min="6404" max="6404" width="12.85546875" style="392" hidden="1" customWidth="1"/>
    <col min="6405" max="6410" width="12.140625" style="392" hidden="1" customWidth="1"/>
    <col min="6411" max="6421" width="8.85546875" style="392" hidden="1" customWidth="1"/>
    <col min="6422" max="6656" width="8.85546875" style="392" hidden="1"/>
    <col min="6657" max="6657" width="32.7109375" style="392" hidden="1" customWidth="1"/>
    <col min="6658" max="6659" width="12.140625" style="392" hidden="1" customWidth="1"/>
    <col min="6660" max="6660" width="12.85546875" style="392" hidden="1" customWidth="1"/>
    <col min="6661" max="6666" width="12.140625" style="392" hidden="1" customWidth="1"/>
    <col min="6667" max="6677" width="8.85546875" style="392" hidden="1" customWidth="1"/>
    <col min="6678" max="6912" width="8.85546875" style="392" hidden="1"/>
    <col min="6913" max="6913" width="32.7109375" style="392" hidden="1" customWidth="1"/>
    <col min="6914" max="6915" width="12.140625" style="392" hidden="1" customWidth="1"/>
    <col min="6916" max="6916" width="12.85546875" style="392" hidden="1" customWidth="1"/>
    <col min="6917" max="6922" width="12.140625" style="392" hidden="1" customWidth="1"/>
    <col min="6923" max="6933" width="8.85546875" style="392" hidden="1" customWidth="1"/>
    <col min="6934" max="7168" width="8.85546875" style="392" hidden="1"/>
    <col min="7169" max="7169" width="32.7109375" style="392" hidden="1" customWidth="1"/>
    <col min="7170" max="7171" width="12.140625" style="392" hidden="1" customWidth="1"/>
    <col min="7172" max="7172" width="12.85546875" style="392" hidden="1" customWidth="1"/>
    <col min="7173" max="7178" width="12.140625" style="392" hidden="1" customWidth="1"/>
    <col min="7179" max="7189" width="8.85546875" style="392" hidden="1" customWidth="1"/>
    <col min="7190" max="7424" width="8.85546875" style="392" hidden="1"/>
    <col min="7425" max="7425" width="32.7109375" style="392" hidden="1" customWidth="1"/>
    <col min="7426" max="7427" width="12.140625" style="392" hidden="1" customWidth="1"/>
    <col min="7428" max="7428" width="12.85546875" style="392" hidden="1" customWidth="1"/>
    <col min="7429" max="7434" width="12.140625" style="392" hidden="1" customWidth="1"/>
    <col min="7435" max="7445" width="8.85546875" style="392" hidden="1" customWidth="1"/>
    <col min="7446" max="7680" width="8.85546875" style="392" hidden="1"/>
    <col min="7681" max="7681" width="32.7109375" style="392" hidden="1" customWidth="1"/>
    <col min="7682" max="7683" width="12.140625" style="392" hidden="1" customWidth="1"/>
    <col min="7684" max="7684" width="12.85546875" style="392" hidden="1" customWidth="1"/>
    <col min="7685" max="7690" width="12.140625" style="392" hidden="1" customWidth="1"/>
    <col min="7691" max="7701" width="8.85546875" style="392" hidden="1" customWidth="1"/>
    <col min="7702" max="7936" width="8.85546875" style="392" hidden="1"/>
    <col min="7937" max="7937" width="32.7109375" style="392" hidden="1" customWidth="1"/>
    <col min="7938" max="7939" width="12.140625" style="392" hidden="1" customWidth="1"/>
    <col min="7940" max="7940" width="12.85546875" style="392" hidden="1" customWidth="1"/>
    <col min="7941" max="7946" width="12.140625" style="392" hidden="1" customWidth="1"/>
    <col min="7947" max="7957" width="8.85546875" style="392" hidden="1" customWidth="1"/>
    <col min="7958" max="8192" width="8.85546875" style="392" hidden="1"/>
    <col min="8193" max="8193" width="32.7109375" style="392" hidden="1" customWidth="1"/>
    <col min="8194" max="8195" width="12.140625" style="392" hidden="1" customWidth="1"/>
    <col min="8196" max="8196" width="12.85546875" style="392" hidden="1" customWidth="1"/>
    <col min="8197" max="8202" width="12.140625" style="392" hidden="1" customWidth="1"/>
    <col min="8203" max="8213" width="8.85546875" style="392" hidden="1" customWidth="1"/>
    <col min="8214" max="8448" width="8.85546875" style="392" hidden="1"/>
    <col min="8449" max="8449" width="32.7109375" style="392" hidden="1" customWidth="1"/>
    <col min="8450" max="8451" width="12.140625" style="392" hidden="1" customWidth="1"/>
    <col min="8452" max="8452" width="12.85546875" style="392" hidden="1" customWidth="1"/>
    <col min="8453" max="8458" width="12.140625" style="392" hidden="1" customWidth="1"/>
    <col min="8459" max="8469" width="8.85546875" style="392" hidden="1" customWidth="1"/>
    <col min="8470" max="8704" width="8.85546875" style="392" hidden="1"/>
    <col min="8705" max="8705" width="32.7109375" style="392" hidden="1" customWidth="1"/>
    <col min="8706" max="8707" width="12.140625" style="392" hidden="1" customWidth="1"/>
    <col min="8708" max="8708" width="12.85546875" style="392" hidden="1" customWidth="1"/>
    <col min="8709" max="8714" width="12.140625" style="392" hidden="1" customWidth="1"/>
    <col min="8715" max="8725" width="8.85546875" style="392" hidden="1" customWidth="1"/>
    <col min="8726" max="8960" width="8.85546875" style="392" hidden="1"/>
    <col min="8961" max="8961" width="32.7109375" style="392" hidden="1" customWidth="1"/>
    <col min="8962" max="8963" width="12.140625" style="392" hidden="1" customWidth="1"/>
    <col min="8964" max="8964" width="12.85546875" style="392" hidden="1" customWidth="1"/>
    <col min="8965" max="8970" width="12.140625" style="392" hidden="1" customWidth="1"/>
    <col min="8971" max="8981" width="8.85546875" style="392" hidden="1" customWidth="1"/>
    <col min="8982" max="9216" width="8.85546875" style="392" hidden="1"/>
    <col min="9217" max="9217" width="32.7109375" style="392" hidden="1" customWidth="1"/>
    <col min="9218" max="9219" width="12.140625" style="392" hidden="1" customWidth="1"/>
    <col min="9220" max="9220" width="12.85546875" style="392" hidden="1" customWidth="1"/>
    <col min="9221" max="9226" width="12.140625" style="392" hidden="1" customWidth="1"/>
    <col min="9227" max="9237" width="8.85546875" style="392" hidden="1" customWidth="1"/>
    <col min="9238" max="9472" width="8.85546875" style="392" hidden="1"/>
    <col min="9473" max="9473" width="32.7109375" style="392" hidden="1" customWidth="1"/>
    <col min="9474" max="9475" width="12.140625" style="392" hidden="1" customWidth="1"/>
    <col min="9476" max="9476" width="12.85546875" style="392" hidden="1" customWidth="1"/>
    <col min="9477" max="9482" width="12.140625" style="392" hidden="1" customWidth="1"/>
    <col min="9483" max="9493" width="8.85546875" style="392" hidden="1" customWidth="1"/>
    <col min="9494" max="9728" width="8.85546875" style="392" hidden="1"/>
    <col min="9729" max="9729" width="32.7109375" style="392" hidden="1" customWidth="1"/>
    <col min="9730" max="9731" width="12.140625" style="392" hidden="1" customWidth="1"/>
    <col min="9732" max="9732" width="12.85546875" style="392" hidden="1" customWidth="1"/>
    <col min="9733" max="9738" width="12.140625" style="392" hidden="1" customWidth="1"/>
    <col min="9739" max="9749" width="8.85546875" style="392" hidden="1" customWidth="1"/>
    <col min="9750" max="9984" width="8.85546875" style="392" hidden="1"/>
    <col min="9985" max="9985" width="32.7109375" style="392" hidden="1" customWidth="1"/>
    <col min="9986" max="9987" width="12.140625" style="392" hidden="1" customWidth="1"/>
    <col min="9988" max="9988" width="12.85546875" style="392" hidden="1" customWidth="1"/>
    <col min="9989" max="9994" width="12.140625" style="392" hidden="1" customWidth="1"/>
    <col min="9995" max="10005" width="8.85546875" style="392" hidden="1" customWidth="1"/>
    <col min="10006" max="10240" width="8.85546875" style="392" hidden="1"/>
    <col min="10241" max="10241" width="32.7109375" style="392" hidden="1" customWidth="1"/>
    <col min="10242" max="10243" width="12.140625" style="392" hidden="1" customWidth="1"/>
    <col min="10244" max="10244" width="12.85546875" style="392" hidden="1" customWidth="1"/>
    <col min="10245" max="10250" width="12.140625" style="392" hidden="1" customWidth="1"/>
    <col min="10251" max="10261" width="8.85546875" style="392" hidden="1" customWidth="1"/>
    <col min="10262" max="10496" width="8.85546875" style="392" hidden="1"/>
    <col min="10497" max="10497" width="32.7109375" style="392" hidden="1" customWidth="1"/>
    <col min="10498" max="10499" width="12.140625" style="392" hidden="1" customWidth="1"/>
    <col min="10500" max="10500" width="12.85546875" style="392" hidden="1" customWidth="1"/>
    <col min="10501" max="10506" width="12.140625" style="392" hidden="1" customWidth="1"/>
    <col min="10507" max="10517" width="8.85546875" style="392" hidden="1" customWidth="1"/>
    <col min="10518" max="10752" width="8.85546875" style="392" hidden="1"/>
    <col min="10753" max="10753" width="32.7109375" style="392" hidden="1" customWidth="1"/>
    <col min="10754" max="10755" width="12.140625" style="392" hidden="1" customWidth="1"/>
    <col min="10756" max="10756" width="12.85546875" style="392" hidden="1" customWidth="1"/>
    <col min="10757" max="10762" width="12.140625" style="392" hidden="1" customWidth="1"/>
    <col min="10763" max="10773" width="8.85546875" style="392" hidden="1" customWidth="1"/>
    <col min="10774" max="11008" width="8.85546875" style="392" hidden="1"/>
    <col min="11009" max="11009" width="32.7109375" style="392" hidden="1" customWidth="1"/>
    <col min="11010" max="11011" width="12.140625" style="392" hidden="1" customWidth="1"/>
    <col min="11012" max="11012" width="12.85546875" style="392" hidden="1" customWidth="1"/>
    <col min="11013" max="11018" width="12.140625" style="392" hidden="1" customWidth="1"/>
    <col min="11019" max="11029" width="8.85546875" style="392" hidden="1" customWidth="1"/>
    <col min="11030" max="11264" width="8.85546875" style="392" hidden="1"/>
    <col min="11265" max="11265" width="32.7109375" style="392" hidden="1" customWidth="1"/>
    <col min="11266" max="11267" width="12.140625" style="392" hidden="1" customWidth="1"/>
    <col min="11268" max="11268" width="12.85546875" style="392" hidden="1" customWidth="1"/>
    <col min="11269" max="11274" width="12.140625" style="392" hidden="1" customWidth="1"/>
    <col min="11275" max="11285" width="8.85546875" style="392" hidden="1" customWidth="1"/>
    <col min="11286" max="11520" width="8.85546875" style="392" hidden="1"/>
    <col min="11521" max="11521" width="32.7109375" style="392" hidden="1" customWidth="1"/>
    <col min="11522" max="11523" width="12.140625" style="392" hidden="1" customWidth="1"/>
    <col min="11524" max="11524" width="12.85546875" style="392" hidden="1" customWidth="1"/>
    <col min="11525" max="11530" width="12.140625" style="392" hidden="1" customWidth="1"/>
    <col min="11531" max="11541" width="8.85546875" style="392" hidden="1" customWidth="1"/>
    <col min="11542" max="11776" width="8.85546875" style="392" hidden="1"/>
    <col min="11777" max="11777" width="32.7109375" style="392" hidden="1" customWidth="1"/>
    <col min="11778" max="11779" width="12.140625" style="392" hidden="1" customWidth="1"/>
    <col min="11780" max="11780" width="12.85546875" style="392" hidden="1" customWidth="1"/>
    <col min="11781" max="11786" width="12.140625" style="392" hidden="1" customWidth="1"/>
    <col min="11787" max="11797" width="8.85546875" style="392" hidden="1" customWidth="1"/>
    <col min="11798" max="12032" width="8.85546875" style="392" hidden="1"/>
    <col min="12033" max="12033" width="32.7109375" style="392" hidden="1" customWidth="1"/>
    <col min="12034" max="12035" width="12.140625" style="392" hidden="1" customWidth="1"/>
    <col min="12036" max="12036" width="12.85546875" style="392" hidden="1" customWidth="1"/>
    <col min="12037" max="12042" width="12.140625" style="392" hidden="1" customWidth="1"/>
    <col min="12043" max="12053" width="8.85546875" style="392" hidden="1" customWidth="1"/>
    <col min="12054" max="12288" width="8.85546875" style="392" hidden="1"/>
    <col min="12289" max="12289" width="32.7109375" style="392" hidden="1" customWidth="1"/>
    <col min="12290" max="12291" width="12.140625" style="392" hidden="1" customWidth="1"/>
    <col min="12292" max="12292" width="12.85546875" style="392" hidden="1" customWidth="1"/>
    <col min="12293" max="12298" width="12.140625" style="392" hidden="1" customWidth="1"/>
    <col min="12299" max="12309" width="8.85546875" style="392" hidden="1" customWidth="1"/>
    <col min="12310" max="12544" width="8.85546875" style="392" hidden="1"/>
    <col min="12545" max="12545" width="32.7109375" style="392" hidden="1" customWidth="1"/>
    <col min="12546" max="12547" width="12.140625" style="392" hidden="1" customWidth="1"/>
    <col min="12548" max="12548" width="12.85546875" style="392" hidden="1" customWidth="1"/>
    <col min="12549" max="12554" width="12.140625" style="392" hidden="1" customWidth="1"/>
    <col min="12555" max="12565" width="8.85546875" style="392" hidden="1" customWidth="1"/>
    <col min="12566" max="12800" width="8.85546875" style="392" hidden="1"/>
    <col min="12801" max="12801" width="32.7109375" style="392" hidden="1" customWidth="1"/>
    <col min="12802" max="12803" width="12.140625" style="392" hidden="1" customWidth="1"/>
    <col min="12804" max="12804" width="12.85546875" style="392" hidden="1" customWidth="1"/>
    <col min="12805" max="12810" width="12.140625" style="392" hidden="1" customWidth="1"/>
    <col min="12811" max="12821" width="8.85546875" style="392" hidden="1" customWidth="1"/>
    <col min="12822" max="13056" width="8.85546875" style="392" hidden="1"/>
    <col min="13057" max="13057" width="32.7109375" style="392" hidden="1" customWidth="1"/>
    <col min="13058" max="13059" width="12.140625" style="392" hidden="1" customWidth="1"/>
    <col min="13060" max="13060" width="12.85546875" style="392" hidden="1" customWidth="1"/>
    <col min="13061" max="13066" width="12.140625" style="392" hidden="1" customWidth="1"/>
    <col min="13067" max="13077" width="8.85546875" style="392" hidden="1" customWidth="1"/>
    <col min="13078" max="13312" width="8.85546875" style="392" hidden="1"/>
    <col min="13313" max="13313" width="32.7109375" style="392" hidden="1" customWidth="1"/>
    <col min="13314" max="13315" width="12.140625" style="392" hidden="1" customWidth="1"/>
    <col min="13316" max="13316" width="12.85546875" style="392" hidden="1" customWidth="1"/>
    <col min="13317" max="13322" width="12.140625" style="392" hidden="1" customWidth="1"/>
    <col min="13323" max="13333" width="8.85546875" style="392" hidden="1" customWidth="1"/>
    <col min="13334" max="13568" width="8.85546875" style="392" hidden="1"/>
    <col min="13569" max="13569" width="32.7109375" style="392" hidden="1" customWidth="1"/>
    <col min="13570" max="13571" width="12.140625" style="392" hidden="1" customWidth="1"/>
    <col min="13572" max="13572" width="12.85546875" style="392" hidden="1" customWidth="1"/>
    <col min="13573" max="13578" width="12.140625" style="392" hidden="1" customWidth="1"/>
    <col min="13579" max="13589" width="8.85546875" style="392" hidden="1" customWidth="1"/>
    <col min="13590" max="13824" width="8.85546875" style="392" hidden="1"/>
    <col min="13825" max="13825" width="32.7109375" style="392" hidden="1" customWidth="1"/>
    <col min="13826" max="13827" width="12.140625" style="392" hidden="1" customWidth="1"/>
    <col min="13828" max="13828" width="12.85546875" style="392" hidden="1" customWidth="1"/>
    <col min="13829" max="13834" width="12.140625" style="392" hidden="1" customWidth="1"/>
    <col min="13835" max="13845" width="8.85546875" style="392" hidden="1" customWidth="1"/>
    <col min="13846" max="14080" width="8.85546875" style="392" hidden="1"/>
    <col min="14081" max="14081" width="32.7109375" style="392" hidden="1" customWidth="1"/>
    <col min="14082" max="14083" width="12.140625" style="392" hidden="1" customWidth="1"/>
    <col min="14084" max="14084" width="12.85546875" style="392" hidden="1" customWidth="1"/>
    <col min="14085" max="14090" width="12.140625" style="392" hidden="1" customWidth="1"/>
    <col min="14091" max="14101" width="8.85546875" style="392" hidden="1" customWidth="1"/>
    <col min="14102" max="14336" width="8.85546875" style="392" hidden="1"/>
    <col min="14337" max="14337" width="32.7109375" style="392" hidden="1" customWidth="1"/>
    <col min="14338" max="14339" width="12.140625" style="392" hidden="1" customWidth="1"/>
    <col min="14340" max="14340" width="12.85546875" style="392" hidden="1" customWidth="1"/>
    <col min="14341" max="14346" width="12.140625" style="392" hidden="1" customWidth="1"/>
    <col min="14347" max="14357" width="8.85546875" style="392" hidden="1" customWidth="1"/>
    <col min="14358" max="14592" width="8.85546875" style="392" hidden="1"/>
    <col min="14593" max="14593" width="32.7109375" style="392" hidden="1" customWidth="1"/>
    <col min="14594" max="14595" width="12.140625" style="392" hidden="1" customWidth="1"/>
    <col min="14596" max="14596" width="12.85546875" style="392" hidden="1" customWidth="1"/>
    <col min="14597" max="14602" width="12.140625" style="392" hidden="1" customWidth="1"/>
    <col min="14603" max="14613" width="8.85546875" style="392" hidden="1" customWidth="1"/>
    <col min="14614" max="14848" width="8.85546875" style="392" hidden="1"/>
    <col min="14849" max="14849" width="32.7109375" style="392" hidden="1" customWidth="1"/>
    <col min="14850" max="14851" width="12.140625" style="392" hidden="1" customWidth="1"/>
    <col min="14852" max="14852" width="12.85546875" style="392" hidden="1" customWidth="1"/>
    <col min="14853" max="14858" width="12.140625" style="392" hidden="1" customWidth="1"/>
    <col min="14859" max="14869" width="8.85546875" style="392" hidden="1" customWidth="1"/>
    <col min="14870" max="15104" width="8.85546875" style="392" hidden="1"/>
    <col min="15105" max="15105" width="32.7109375" style="392" hidden="1" customWidth="1"/>
    <col min="15106" max="15107" width="12.140625" style="392" hidden="1" customWidth="1"/>
    <col min="15108" max="15108" width="12.85546875" style="392" hidden="1" customWidth="1"/>
    <col min="15109" max="15114" width="12.140625" style="392" hidden="1" customWidth="1"/>
    <col min="15115" max="15125" width="8.85546875" style="392" hidden="1" customWidth="1"/>
    <col min="15126" max="15360" width="8.85546875" style="392" hidden="1"/>
    <col min="15361" max="15361" width="32.7109375" style="392" hidden="1" customWidth="1"/>
    <col min="15362" max="15363" width="12.140625" style="392" hidden="1" customWidth="1"/>
    <col min="15364" max="15364" width="12.85546875" style="392" hidden="1" customWidth="1"/>
    <col min="15365" max="15370" width="12.140625" style="392" hidden="1" customWidth="1"/>
    <col min="15371" max="15381" width="8.85546875" style="392" hidden="1" customWidth="1"/>
    <col min="15382" max="15616" width="8.85546875" style="392" hidden="1"/>
    <col min="15617" max="15617" width="32.7109375" style="392" hidden="1" customWidth="1"/>
    <col min="15618" max="15619" width="12.140625" style="392" hidden="1" customWidth="1"/>
    <col min="15620" max="15620" width="12.85546875" style="392" hidden="1" customWidth="1"/>
    <col min="15621" max="15626" width="12.140625" style="392" hidden="1" customWidth="1"/>
    <col min="15627" max="15637" width="8.85546875" style="392" hidden="1" customWidth="1"/>
    <col min="15638" max="15872" width="8.85546875" style="392" hidden="1"/>
    <col min="15873" max="15873" width="32.7109375" style="392" hidden="1" customWidth="1"/>
    <col min="15874" max="15875" width="12.140625" style="392" hidden="1" customWidth="1"/>
    <col min="15876" max="15876" width="12.85546875" style="392" hidden="1" customWidth="1"/>
    <col min="15877" max="15882" width="12.140625" style="392" hidden="1" customWidth="1"/>
    <col min="15883" max="15893" width="8.85546875" style="392" hidden="1" customWidth="1"/>
    <col min="15894" max="16128" width="8.85546875" style="392" hidden="1"/>
    <col min="16129" max="16129" width="32.7109375" style="392" hidden="1" customWidth="1"/>
    <col min="16130" max="16131" width="12.140625" style="392" hidden="1" customWidth="1"/>
    <col min="16132" max="16132" width="12.85546875" style="392" hidden="1" customWidth="1"/>
    <col min="16133" max="16138" width="12.140625" style="392" hidden="1" customWidth="1"/>
    <col min="16139" max="16149" width="8.85546875" style="392" hidden="1" customWidth="1"/>
    <col min="16150" max="16384" width="8.85546875" style="392" hidden="1"/>
  </cols>
  <sheetData>
    <row r="1" spans="1:11" s="355" customFormat="1" ht="12.75">
      <c r="A1" s="1886" t="s">
        <v>1228</v>
      </c>
      <c r="B1" s="1887"/>
      <c r="C1" s="1887"/>
      <c r="D1" s="1887"/>
      <c r="E1" s="1887"/>
      <c r="F1" s="1887"/>
      <c r="G1" s="1887"/>
      <c r="H1" s="1887"/>
      <c r="I1" s="1887"/>
      <c r="J1" s="1888"/>
      <c r="K1" s="354"/>
    </row>
    <row r="2" spans="1:11" s="400" customFormat="1" ht="72">
      <c r="A2" s="397"/>
      <c r="B2" s="398" t="s">
        <v>1028</v>
      </c>
      <c r="C2" s="398" t="s">
        <v>1230</v>
      </c>
      <c r="D2" s="398" t="s">
        <v>1231</v>
      </c>
      <c r="E2" s="398" t="s">
        <v>1159</v>
      </c>
      <c r="F2" s="398" t="s">
        <v>1232</v>
      </c>
      <c r="G2" s="398" t="s">
        <v>1233</v>
      </c>
      <c r="H2" s="398" t="s">
        <v>1029</v>
      </c>
      <c r="I2" s="398" t="s">
        <v>1234</v>
      </c>
      <c r="J2" s="398" t="s">
        <v>1235</v>
      </c>
      <c r="K2" s="399"/>
    </row>
    <row r="3" spans="1:11" s="359" customFormat="1">
      <c r="A3" s="356" t="s">
        <v>26</v>
      </c>
      <c r="B3" s="357"/>
      <c r="C3" s="357"/>
      <c r="D3" s="357"/>
      <c r="E3" s="357"/>
      <c r="F3" s="357"/>
      <c r="G3" s="357"/>
      <c r="H3" s="357"/>
      <c r="I3" s="357"/>
      <c r="J3" s="357"/>
      <c r="K3" s="358"/>
    </row>
    <row r="4" spans="1:11" s="359" customFormat="1">
      <c r="A4" s="363" t="s">
        <v>27</v>
      </c>
      <c r="B4" s="360">
        <f>'Sources and Uses Budget'!C4</f>
        <v>98</v>
      </c>
      <c r="C4" s="361"/>
      <c r="D4" s="361"/>
      <c r="E4" s="362"/>
      <c r="F4" s="362"/>
      <c r="G4" s="362"/>
      <c r="H4" s="362"/>
      <c r="I4" s="362"/>
      <c r="J4" s="362"/>
      <c r="K4" s="358"/>
    </row>
    <row r="5" spans="1:11" s="359" customFormat="1">
      <c r="A5" s="363" t="s">
        <v>28</v>
      </c>
      <c r="B5" s="360">
        <f>'Sources and Uses Budget'!C5</f>
        <v>0</v>
      </c>
      <c r="C5" s="361"/>
      <c r="D5" s="361"/>
      <c r="E5" s="362"/>
      <c r="F5" s="362"/>
      <c r="G5" s="362"/>
      <c r="H5" s="362"/>
      <c r="I5" s="362"/>
      <c r="J5" s="362"/>
      <c r="K5" s="358"/>
    </row>
    <row r="6" spans="1:11" s="359" customFormat="1">
      <c r="A6" s="363" t="s">
        <v>29</v>
      </c>
      <c r="B6" s="360">
        <f>'Sources and Uses Budget'!C6</f>
        <v>0</v>
      </c>
      <c r="C6" s="361"/>
      <c r="D6" s="361"/>
      <c r="E6" s="362"/>
      <c r="F6" s="362"/>
      <c r="G6" s="362"/>
      <c r="H6" s="362"/>
      <c r="I6" s="362"/>
      <c r="J6" s="362"/>
      <c r="K6" s="358"/>
    </row>
    <row r="7" spans="1:11" s="359" customFormat="1">
      <c r="A7" s="363" t="s">
        <v>97</v>
      </c>
      <c r="B7" s="360">
        <f>'Sources and Uses Budget'!C7</f>
        <v>0</v>
      </c>
      <c r="C7" s="361"/>
      <c r="D7" s="361"/>
      <c r="E7" s="362"/>
      <c r="F7" s="362"/>
      <c r="G7" s="362"/>
      <c r="H7" s="362"/>
      <c r="I7" s="362"/>
      <c r="J7" s="362"/>
      <c r="K7" s="358"/>
    </row>
    <row r="8" spans="1:11" s="359" customFormat="1">
      <c r="A8" s="364" t="s">
        <v>594</v>
      </c>
      <c r="B8" s="360">
        <f>'Sources and Uses Budget'!C8</f>
        <v>98</v>
      </c>
      <c r="C8" s="360">
        <f>SUM(C4:C7)</f>
        <v>0</v>
      </c>
      <c r="D8" s="360">
        <f>SUM(D4:D7)</f>
        <v>0</v>
      </c>
      <c r="E8" s="362"/>
      <c r="F8" s="362"/>
      <c r="G8" s="362"/>
      <c r="H8" s="362"/>
      <c r="I8" s="362"/>
      <c r="J8" s="362"/>
      <c r="K8" s="358"/>
    </row>
    <row r="9" spans="1:11" s="359" customFormat="1">
      <c r="A9" s="363" t="s">
        <v>595</v>
      </c>
      <c r="B9" s="360">
        <f>'Sources and Uses Budget'!C9</f>
        <v>0</v>
      </c>
      <c r="C9" s="361"/>
      <c r="D9" s="361"/>
      <c r="E9" s="362"/>
      <c r="F9" s="362"/>
      <c r="G9" s="362"/>
      <c r="H9" s="360">
        <f>'Sources and Uses Budget'!T9</f>
        <v>0</v>
      </c>
      <c r="I9" s="361"/>
      <c r="J9" s="361"/>
      <c r="K9" s="358"/>
    </row>
    <row r="10" spans="1:11" s="359" customFormat="1">
      <c r="A10" s="363" t="s">
        <v>596</v>
      </c>
      <c r="B10" s="360">
        <f>'Sources and Uses Budget'!C10</f>
        <v>0</v>
      </c>
      <c r="C10" s="361"/>
      <c r="D10" s="361"/>
      <c r="E10" s="360">
        <f>'Sources and Uses Budget'!S10</f>
        <v>0</v>
      </c>
      <c r="F10" s="361"/>
      <c r="G10" s="361"/>
      <c r="H10" s="360">
        <f>'Sources and Uses Budget'!T10</f>
        <v>0</v>
      </c>
      <c r="I10" s="361"/>
      <c r="J10" s="361"/>
      <c r="K10" s="358"/>
    </row>
    <row r="11" spans="1:11" s="359" customFormat="1">
      <c r="A11" s="364" t="s">
        <v>597</v>
      </c>
      <c r="B11" s="360">
        <f>'Sources and Uses Budget'!C11</f>
        <v>0</v>
      </c>
      <c r="C11" s="360">
        <f>SUM(C9:C10)</f>
        <v>0</v>
      </c>
      <c r="D11" s="360">
        <f>SUM(D9:D10)</f>
        <v>0</v>
      </c>
      <c r="E11" s="362"/>
      <c r="F11" s="362"/>
      <c r="G11" s="362"/>
      <c r="H11" s="360">
        <f>'Sources and Uses Budget'!T11</f>
        <v>0</v>
      </c>
      <c r="I11" s="360">
        <f>SUM(I9:I10)</f>
        <v>0</v>
      </c>
      <c r="J11" s="360">
        <f>SUM(J9:J10)</f>
        <v>0</v>
      </c>
      <c r="K11" s="358"/>
    </row>
    <row r="12" spans="1:11" s="359" customFormat="1">
      <c r="A12" s="364" t="s">
        <v>84</v>
      </c>
      <c r="B12" s="360">
        <f>'Sources and Uses Budget'!C12</f>
        <v>98</v>
      </c>
      <c r="C12" s="360">
        <f>SUM(C8+C11)</f>
        <v>0</v>
      </c>
      <c r="D12" s="360">
        <f>SUM(D8+D11)</f>
        <v>0</v>
      </c>
      <c r="E12" s="362"/>
      <c r="F12" s="362"/>
      <c r="G12" s="362"/>
      <c r="H12" s="362"/>
      <c r="I12" s="362"/>
      <c r="J12" s="362"/>
      <c r="K12" s="358"/>
    </row>
    <row r="13" spans="1:11" s="359" customFormat="1">
      <c r="A13" s="365" t="s">
        <v>903</v>
      </c>
      <c r="B13" s="360">
        <f>'Sources and Uses Budget'!C13</f>
        <v>63861</v>
      </c>
      <c r="C13" s="361"/>
      <c r="D13" s="361"/>
      <c r="E13" s="360">
        <f>'Sources and Uses Budget'!S13</f>
        <v>63861</v>
      </c>
      <c r="F13" s="361"/>
      <c r="G13" s="361"/>
      <c r="H13" s="360">
        <f>'Sources and Uses Budget'!T13</f>
        <v>0</v>
      </c>
      <c r="I13" s="361"/>
      <c r="J13" s="361"/>
      <c r="K13" s="358"/>
    </row>
    <row r="14" spans="1:11" s="359" customFormat="1" ht="24">
      <c r="A14" s="363" t="s">
        <v>904</v>
      </c>
      <c r="B14" s="360">
        <f>'Sources and Uses Budget'!C14</f>
        <v>0</v>
      </c>
      <c r="C14" s="361"/>
      <c r="D14" s="361"/>
      <c r="E14" s="360">
        <f>'Sources and Uses Budget'!S14</f>
        <v>0</v>
      </c>
      <c r="F14" s="361"/>
      <c r="G14" s="361"/>
      <c r="H14" s="360">
        <f>'Sources and Uses Budget'!T14</f>
        <v>0</v>
      </c>
      <c r="I14" s="361"/>
      <c r="J14" s="361"/>
      <c r="K14" s="358"/>
    </row>
    <row r="15" spans="1:11" s="359" customFormat="1">
      <c r="A15" s="363" t="s">
        <v>1162</v>
      </c>
      <c r="B15" s="360">
        <f>'Sources and Uses Budget'!C15</f>
        <v>0</v>
      </c>
      <c r="C15" s="361"/>
      <c r="D15" s="361"/>
      <c r="E15" s="362">
        <f>'Sources and Uses Budget'!S15</f>
        <v>0</v>
      </c>
      <c r="F15" s="362"/>
      <c r="G15" s="362"/>
      <c r="H15" s="362">
        <f>'Sources and Uses Budget'!T15</f>
        <v>0</v>
      </c>
      <c r="I15" s="362"/>
      <c r="J15" s="362"/>
      <c r="K15" s="358"/>
    </row>
    <row r="16" spans="1:11" s="359" customFormat="1">
      <c r="A16" s="356" t="s">
        <v>598</v>
      </c>
      <c r="B16" s="357"/>
      <c r="C16" s="357"/>
      <c r="D16" s="357"/>
      <c r="E16" s="357"/>
      <c r="F16" s="357"/>
      <c r="G16" s="357"/>
      <c r="H16" s="357"/>
      <c r="I16" s="357"/>
      <c r="J16" s="357"/>
      <c r="K16" s="358"/>
    </row>
    <row r="17" spans="1:11" s="359" customFormat="1">
      <c r="A17" s="363" t="s">
        <v>599</v>
      </c>
      <c r="B17" s="360">
        <f>'Sources and Uses Budget'!C17</f>
        <v>0</v>
      </c>
      <c r="C17" s="361"/>
      <c r="D17" s="361"/>
      <c r="E17" s="360">
        <f>'Sources and Uses Budget'!S17</f>
        <v>0</v>
      </c>
      <c r="F17" s="361"/>
      <c r="G17" s="361"/>
      <c r="H17" s="360">
        <f>'Sources and Uses Budget'!T17</f>
        <v>0</v>
      </c>
      <c r="I17" s="361"/>
      <c r="J17" s="361"/>
      <c r="K17" s="358"/>
    </row>
    <row r="18" spans="1:11" s="359" customFormat="1">
      <c r="A18" s="363" t="s">
        <v>600</v>
      </c>
      <c r="B18" s="360">
        <f>'Sources and Uses Budget'!C18</f>
        <v>0</v>
      </c>
      <c r="C18" s="361"/>
      <c r="D18" s="361"/>
      <c r="E18" s="360">
        <f>'Sources and Uses Budget'!S18</f>
        <v>0</v>
      </c>
      <c r="F18" s="361"/>
      <c r="G18" s="361"/>
      <c r="H18" s="360">
        <f>'Sources and Uses Budget'!T18</f>
        <v>0</v>
      </c>
      <c r="I18" s="361"/>
      <c r="J18" s="361"/>
      <c r="K18" s="358"/>
    </row>
    <row r="19" spans="1:11" s="359" customFormat="1">
      <c r="A19" s="363" t="s">
        <v>601</v>
      </c>
      <c r="B19" s="360">
        <f>'Sources and Uses Budget'!C19</f>
        <v>0</v>
      </c>
      <c r="C19" s="361"/>
      <c r="D19" s="361"/>
      <c r="E19" s="360">
        <f>'Sources and Uses Budget'!S19</f>
        <v>0</v>
      </c>
      <c r="F19" s="361"/>
      <c r="G19" s="361"/>
      <c r="H19" s="360">
        <f>'Sources and Uses Budget'!T19</f>
        <v>0</v>
      </c>
      <c r="I19" s="361"/>
      <c r="J19" s="361"/>
      <c r="K19" s="358"/>
    </row>
    <row r="20" spans="1:11" s="359" customFormat="1">
      <c r="A20" s="363" t="s">
        <v>137</v>
      </c>
      <c r="B20" s="360">
        <f>'Sources and Uses Budget'!C20</f>
        <v>0</v>
      </c>
      <c r="C20" s="361"/>
      <c r="D20" s="361"/>
      <c r="E20" s="360">
        <f>'Sources and Uses Budget'!S20</f>
        <v>0</v>
      </c>
      <c r="F20" s="361"/>
      <c r="G20" s="361"/>
      <c r="H20" s="360">
        <f>'Sources and Uses Budget'!T20</f>
        <v>0</v>
      </c>
      <c r="I20" s="361"/>
      <c r="J20" s="361"/>
      <c r="K20" s="358"/>
    </row>
    <row r="21" spans="1:11" s="359" customFormat="1">
      <c r="A21" s="363" t="s">
        <v>138</v>
      </c>
      <c r="B21" s="360">
        <f>'Sources and Uses Budget'!C21</f>
        <v>0</v>
      </c>
      <c r="C21" s="361"/>
      <c r="D21" s="361"/>
      <c r="E21" s="360">
        <f>'Sources and Uses Budget'!S21</f>
        <v>0</v>
      </c>
      <c r="F21" s="361"/>
      <c r="G21" s="361"/>
      <c r="H21" s="360">
        <f>'Sources and Uses Budget'!T21</f>
        <v>0</v>
      </c>
      <c r="I21" s="361"/>
      <c r="J21" s="361"/>
      <c r="K21" s="358"/>
    </row>
    <row r="22" spans="1:11" s="359" customFormat="1">
      <c r="A22" s="363" t="s">
        <v>139</v>
      </c>
      <c r="B22" s="360">
        <f>'Sources and Uses Budget'!C22</f>
        <v>0</v>
      </c>
      <c r="C22" s="361"/>
      <c r="D22" s="361"/>
      <c r="E22" s="360">
        <f>'Sources and Uses Budget'!S22</f>
        <v>0</v>
      </c>
      <c r="F22" s="361"/>
      <c r="G22" s="361"/>
      <c r="H22" s="360">
        <f>'Sources and Uses Budget'!T22</f>
        <v>0</v>
      </c>
      <c r="I22" s="361"/>
      <c r="J22" s="361"/>
      <c r="K22" s="358"/>
    </row>
    <row r="23" spans="1:11" s="359" customFormat="1">
      <c r="A23" s="363" t="s">
        <v>140</v>
      </c>
      <c r="B23" s="360">
        <f>'Sources and Uses Budget'!C23</f>
        <v>0</v>
      </c>
      <c r="C23" s="361"/>
      <c r="D23" s="361"/>
      <c r="E23" s="360">
        <f>'Sources and Uses Budget'!S23</f>
        <v>0</v>
      </c>
      <c r="F23" s="361"/>
      <c r="G23" s="361"/>
      <c r="H23" s="360">
        <f>'Sources and Uses Budget'!T23</f>
        <v>0</v>
      </c>
      <c r="I23" s="361"/>
      <c r="J23" s="361"/>
      <c r="K23" s="358"/>
    </row>
    <row r="24" spans="1:11" s="359" customFormat="1">
      <c r="A24" s="507" t="s">
        <v>1641</v>
      </c>
      <c r="B24" s="360">
        <f>'Sources and Uses Budget'!C24</f>
        <v>0</v>
      </c>
      <c r="C24" s="361"/>
      <c r="D24" s="361"/>
      <c r="E24" s="360">
        <f>'Sources and Uses Budget'!S24</f>
        <v>0</v>
      </c>
      <c r="F24" s="361"/>
      <c r="G24" s="361"/>
      <c r="H24" s="360">
        <f>'Sources and Uses Budget'!T24</f>
        <v>0</v>
      </c>
      <c r="I24" s="361"/>
      <c r="J24" s="361"/>
      <c r="K24" s="358"/>
    </row>
    <row r="25" spans="1:11" s="359" customFormat="1">
      <c r="A25" s="363" t="str">
        <f>'Sources and Uses Budget'!$A25</f>
        <v>Other: (Specify)</v>
      </c>
      <c r="B25" s="360">
        <f>'Sources and Uses Budget'!C25</f>
        <v>0</v>
      </c>
      <c r="C25" s="361"/>
      <c r="D25" s="361"/>
      <c r="E25" s="360">
        <f>'Sources and Uses Budget'!S25</f>
        <v>0</v>
      </c>
      <c r="F25" s="361"/>
      <c r="G25" s="361"/>
      <c r="H25" s="360">
        <f>'Sources and Uses Budget'!T25</f>
        <v>0</v>
      </c>
      <c r="I25" s="361"/>
      <c r="J25" s="361"/>
      <c r="K25" s="358"/>
    </row>
    <row r="26" spans="1:11" s="359" customFormat="1">
      <c r="A26" s="364" t="s">
        <v>133</v>
      </c>
      <c r="B26" s="360">
        <f>'Sources and Uses Budget'!C26</f>
        <v>0</v>
      </c>
      <c r="C26" s="360">
        <f>SUM(C17:C25)</f>
        <v>0</v>
      </c>
      <c r="D26" s="360">
        <f>SUM(D17:D25)</f>
        <v>0</v>
      </c>
      <c r="E26" s="360">
        <f>'Sources and Uses Budget'!S26</f>
        <v>0</v>
      </c>
      <c r="F26" s="366">
        <f>SUM(F17:F25)</f>
        <v>0</v>
      </c>
      <c r="G26" s="366">
        <f>SUM(G17:G25)</f>
        <v>0</v>
      </c>
      <c r="H26" s="360">
        <f>'Sources and Uses Budget'!T26</f>
        <v>0</v>
      </c>
      <c r="I26" s="366">
        <f>SUM(I17:I25)</f>
        <v>0</v>
      </c>
      <c r="J26" s="366">
        <f>SUM(J17:J25)</f>
        <v>0</v>
      </c>
      <c r="K26" s="358"/>
    </row>
    <row r="27" spans="1:11" s="359" customFormat="1">
      <c r="A27" s="364" t="s">
        <v>141</v>
      </c>
      <c r="B27" s="360">
        <f>'Sources and Uses Budget'!C27</f>
        <v>0</v>
      </c>
      <c r="C27" s="361"/>
      <c r="D27" s="361"/>
      <c r="E27" s="360">
        <f>'Sources and Uses Budget'!S27</f>
        <v>0</v>
      </c>
      <c r="F27" s="361"/>
      <c r="G27" s="361"/>
      <c r="H27" s="360">
        <f>'Sources and Uses Budget'!T27</f>
        <v>0</v>
      </c>
      <c r="I27" s="361"/>
      <c r="J27" s="361"/>
      <c r="K27" s="358"/>
    </row>
    <row r="28" spans="1:11" s="359" customFormat="1">
      <c r="A28" s="356" t="s">
        <v>142</v>
      </c>
      <c r="B28" s="357"/>
      <c r="C28" s="357"/>
      <c r="D28" s="357"/>
      <c r="E28" s="357"/>
      <c r="F28" s="357"/>
      <c r="G28" s="357"/>
      <c r="H28" s="357"/>
      <c r="I28" s="357"/>
      <c r="J28" s="357"/>
      <c r="K28" s="358"/>
    </row>
    <row r="29" spans="1:11" s="359" customFormat="1">
      <c r="A29" s="145" t="s">
        <v>599</v>
      </c>
      <c r="B29" s="360">
        <f>'Sources and Uses Budget'!C29</f>
        <v>3725440</v>
      </c>
      <c r="C29" s="361"/>
      <c r="D29" s="361"/>
      <c r="E29" s="360">
        <f>'Sources and Uses Budget'!S29</f>
        <v>3725440</v>
      </c>
      <c r="F29" s="361"/>
      <c r="G29" s="361"/>
      <c r="H29" s="360">
        <f>'Sources and Uses Budget'!T29</f>
        <v>0</v>
      </c>
      <c r="I29" s="361"/>
      <c r="J29" s="361"/>
      <c r="K29" s="358"/>
    </row>
    <row r="30" spans="1:11" s="359" customFormat="1">
      <c r="A30" s="145" t="s">
        <v>600</v>
      </c>
      <c r="B30" s="360">
        <f>'Sources and Uses Budget'!C30</f>
        <v>46799414</v>
      </c>
      <c r="C30" s="361"/>
      <c r="D30" s="361"/>
      <c r="E30" s="360">
        <f>'Sources and Uses Budget'!S30</f>
        <v>46799414</v>
      </c>
      <c r="F30" s="361"/>
      <c r="G30" s="361"/>
      <c r="H30" s="360">
        <f>'Sources and Uses Budget'!T30</f>
        <v>0</v>
      </c>
      <c r="I30" s="361"/>
      <c r="J30" s="361"/>
      <c r="K30" s="358"/>
    </row>
    <row r="31" spans="1:11" s="359" customFormat="1">
      <c r="A31" s="145" t="s">
        <v>601</v>
      </c>
      <c r="B31" s="360">
        <f>'Sources and Uses Budget'!C31</f>
        <v>2987222</v>
      </c>
      <c r="C31" s="361"/>
      <c r="D31" s="361"/>
      <c r="E31" s="360">
        <f>'Sources and Uses Budget'!S31</f>
        <v>2987222</v>
      </c>
      <c r="F31" s="361"/>
      <c r="G31" s="361"/>
      <c r="H31" s="360">
        <f>'Sources and Uses Budget'!T31</f>
        <v>0</v>
      </c>
      <c r="I31" s="361"/>
      <c r="J31" s="361"/>
      <c r="K31" s="358"/>
    </row>
    <row r="32" spans="1:11" s="359" customFormat="1">
      <c r="A32" s="145" t="s">
        <v>137</v>
      </c>
      <c r="B32" s="360">
        <f>'Sources and Uses Budget'!C32</f>
        <v>1048113</v>
      </c>
      <c r="C32" s="361"/>
      <c r="D32" s="361"/>
      <c r="E32" s="360">
        <f>'Sources and Uses Budget'!S32</f>
        <v>1048113</v>
      </c>
      <c r="F32" s="361"/>
      <c r="G32" s="361"/>
      <c r="H32" s="360">
        <f>'Sources and Uses Budget'!T32</f>
        <v>0</v>
      </c>
      <c r="I32" s="361"/>
      <c r="J32" s="361"/>
      <c r="K32" s="358"/>
    </row>
    <row r="33" spans="1:11" s="359" customFormat="1">
      <c r="A33" s="145" t="s">
        <v>138</v>
      </c>
      <c r="B33" s="360">
        <f>'Sources and Uses Budget'!C33</f>
        <v>3160444</v>
      </c>
      <c r="C33" s="361"/>
      <c r="D33" s="361"/>
      <c r="E33" s="360">
        <f>'Sources and Uses Budget'!S33</f>
        <v>3160444</v>
      </c>
      <c r="F33" s="361"/>
      <c r="G33" s="361"/>
      <c r="H33" s="360">
        <f>'Sources and Uses Budget'!T33</f>
        <v>0</v>
      </c>
      <c r="I33" s="361"/>
      <c r="J33" s="361"/>
      <c r="K33" s="358"/>
    </row>
    <row r="34" spans="1:11" s="359" customFormat="1">
      <c r="A34" s="145" t="s">
        <v>139</v>
      </c>
      <c r="B34" s="360">
        <f>'Sources and Uses Budget'!C34</f>
        <v>0</v>
      </c>
      <c r="C34" s="361"/>
      <c r="D34" s="361"/>
      <c r="E34" s="360">
        <f>'Sources and Uses Budget'!S34</f>
        <v>0</v>
      </c>
      <c r="F34" s="361"/>
      <c r="G34" s="361"/>
      <c r="H34" s="360">
        <f>'Sources and Uses Budget'!T34</f>
        <v>0</v>
      </c>
      <c r="I34" s="361"/>
      <c r="J34" s="361"/>
      <c r="K34" s="358"/>
    </row>
    <row r="35" spans="1:11" s="359" customFormat="1">
      <c r="A35" s="145" t="s">
        <v>140</v>
      </c>
      <c r="B35" s="360">
        <f>'Sources and Uses Budget'!C35</f>
        <v>1937831</v>
      </c>
      <c r="C35" s="361"/>
      <c r="D35" s="361"/>
      <c r="E35" s="360">
        <f>'Sources and Uses Budget'!S35</f>
        <v>1937831</v>
      </c>
      <c r="F35" s="361"/>
      <c r="G35" s="361"/>
      <c r="H35" s="360">
        <f>'Sources and Uses Budget'!T35</f>
        <v>0</v>
      </c>
      <c r="I35" s="361"/>
      <c r="J35" s="361"/>
      <c r="K35" s="358"/>
    </row>
    <row r="36" spans="1:11" s="359" customFormat="1">
      <c r="A36" s="507" t="s">
        <v>1641</v>
      </c>
      <c r="B36" s="360">
        <f>'Sources and Uses Budget'!C36</f>
        <v>0</v>
      </c>
      <c r="C36" s="361"/>
      <c r="D36" s="361"/>
      <c r="E36" s="360">
        <f>'Sources and Uses Budget'!S36</f>
        <v>0</v>
      </c>
      <c r="F36" s="361"/>
      <c r="G36" s="361"/>
      <c r="H36" s="360">
        <f>'Sources and Uses Budget'!T36</f>
        <v>0</v>
      </c>
      <c r="I36" s="361"/>
      <c r="J36" s="361"/>
      <c r="K36" s="358"/>
    </row>
    <row r="37" spans="1:11" s="359" customFormat="1">
      <c r="A37" s="363" t="str">
        <f>'Sources and Uses Budget'!$A37</f>
        <v>Other: (Specify)</v>
      </c>
      <c r="B37" s="360">
        <f>'Sources and Uses Budget'!C37</f>
        <v>0</v>
      </c>
      <c r="C37" s="361"/>
      <c r="D37" s="361"/>
      <c r="E37" s="360">
        <f>'Sources and Uses Budget'!S37</f>
        <v>0</v>
      </c>
      <c r="F37" s="361"/>
      <c r="G37" s="361"/>
      <c r="H37" s="360">
        <f>'Sources and Uses Budget'!T37</f>
        <v>0</v>
      </c>
      <c r="I37" s="361"/>
      <c r="J37" s="361"/>
      <c r="K37" s="358"/>
    </row>
    <row r="38" spans="1:11" s="359" customFormat="1">
      <c r="A38" s="364" t="s">
        <v>143</v>
      </c>
      <c r="B38" s="360">
        <f>'Sources and Uses Budget'!C38</f>
        <v>59658464</v>
      </c>
      <c r="C38" s="360">
        <f>SUM(C29:C37)</f>
        <v>0</v>
      </c>
      <c r="D38" s="360">
        <f>SUM(D29:D37)</f>
        <v>0</v>
      </c>
      <c r="E38" s="360">
        <f>'Sources and Uses Budget'!S38</f>
        <v>59658464</v>
      </c>
      <c r="F38" s="366">
        <f>SUM(F29:F37)</f>
        <v>0</v>
      </c>
      <c r="G38" s="366">
        <f>SUM(G29:G37)</f>
        <v>0</v>
      </c>
      <c r="H38" s="360">
        <f>'Sources and Uses Budget'!T38</f>
        <v>0</v>
      </c>
      <c r="I38" s="366">
        <f>SUM(I29:I37)</f>
        <v>0</v>
      </c>
      <c r="J38" s="366">
        <f>SUM(J29:J37)</f>
        <v>0</v>
      </c>
      <c r="K38" s="358"/>
    </row>
    <row r="39" spans="1:11" s="359" customFormat="1">
      <c r="A39" s="356" t="s">
        <v>144</v>
      </c>
      <c r="B39" s="357"/>
      <c r="C39" s="357"/>
      <c r="D39" s="357"/>
      <c r="E39" s="357"/>
      <c r="F39" s="357"/>
      <c r="G39" s="357"/>
      <c r="H39" s="357"/>
      <c r="I39" s="357"/>
      <c r="J39" s="357"/>
      <c r="K39" s="358"/>
    </row>
    <row r="40" spans="1:11" s="359" customFormat="1">
      <c r="A40" s="363" t="s">
        <v>145</v>
      </c>
      <c r="B40" s="360">
        <f>'Sources and Uses Budget'!C40</f>
        <v>2307206</v>
      </c>
      <c r="C40" s="361"/>
      <c r="D40" s="361"/>
      <c r="E40" s="360">
        <f>'Sources and Uses Budget'!S40</f>
        <v>2307206</v>
      </c>
      <c r="F40" s="361"/>
      <c r="G40" s="361"/>
      <c r="H40" s="360">
        <f>'Sources and Uses Budget'!T40</f>
        <v>0</v>
      </c>
      <c r="I40" s="361"/>
      <c r="J40" s="361"/>
      <c r="K40" s="358"/>
    </row>
    <row r="41" spans="1:11" s="359" customFormat="1">
      <c r="A41" s="363" t="s">
        <v>146</v>
      </c>
      <c r="B41" s="360">
        <f>'Sources and Uses Budget'!C41</f>
        <v>81055</v>
      </c>
      <c r="C41" s="361"/>
      <c r="D41" s="361"/>
      <c r="E41" s="360">
        <f>'Sources and Uses Budget'!S41</f>
        <v>81055</v>
      </c>
      <c r="F41" s="361"/>
      <c r="G41" s="361"/>
      <c r="H41" s="360">
        <f>'Sources and Uses Budget'!T41</f>
        <v>0</v>
      </c>
      <c r="I41" s="361"/>
      <c r="J41" s="361"/>
      <c r="K41" s="358"/>
    </row>
    <row r="42" spans="1:11" s="359" customFormat="1">
      <c r="A42" s="364" t="s">
        <v>147</v>
      </c>
      <c r="B42" s="360">
        <f>'Sources and Uses Budget'!C42</f>
        <v>2388261</v>
      </c>
      <c r="C42" s="360">
        <f>SUM(C39:C41)</f>
        <v>0</v>
      </c>
      <c r="D42" s="360">
        <f>SUM(D39:D41)</f>
        <v>0</v>
      </c>
      <c r="E42" s="360">
        <f>'Sources and Uses Budget'!S42</f>
        <v>2388261</v>
      </c>
      <c r="F42" s="366">
        <f>SUM(F40:F41)</f>
        <v>0</v>
      </c>
      <c r="G42" s="366">
        <f>SUM(G40:G41)</f>
        <v>0</v>
      </c>
      <c r="H42" s="360">
        <f>'Sources and Uses Budget'!T42</f>
        <v>0</v>
      </c>
      <c r="I42" s="366">
        <f>SUM(I40:I41)</f>
        <v>0</v>
      </c>
      <c r="J42" s="366">
        <f>SUM(J40:J41)</f>
        <v>0</v>
      </c>
      <c r="K42" s="358"/>
    </row>
    <row r="43" spans="1:11" s="359" customFormat="1">
      <c r="A43" s="364" t="s">
        <v>148</v>
      </c>
      <c r="B43" s="360">
        <f>'Sources and Uses Budget'!C43</f>
        <v>926807</v>
      </c>
      <c r="C43" s="361"/>
      <c r="D43" s="361"/>
      <c r="E43" s="360">
        <f>'Sources and Uses Budget'!S43</f>
        <v>926807</v>
      </c>
      <c r="F43" s="361"/>
      <c r="G43" s="361"/>
      <c r="H43" s="360">
        <f>'Sources and Uses Budget'!T43</f>
        <v>0</v>
      </c>
      <c r="I43" s="361"/>
      <c r="J43" s="361"/>
      <c r="K43" s="358"/>
    </row>
    <row r="44" spans="1:11" s="359" customFormat="1">
      <c r="A44" s="356" t="s">
        <v>149</v>
      </c>
      <c r="B44" s="357"/>
      <c r="C44" s="357"/>
      <c r="D44" s="357"/>
      <c r="E44" s="357"/>
      <c r="F44" s="357"/>
      <c r="G44" s="357"/>
      <c r="H44" s="357"/>
      <c r="I44" s="357"/>
      <c r="J44" s="357"/>
      <c r="K44" s="358"/>
    </row>
    <row r="45" spans="1:11" s="359" customFormat="1">
      <c r="A45" s="363" t="s">
        <v>150</v>
      </c>
      <c r="B45" s="360">
        <f>'Sources and Uses Budget'!C45</f>
        <v>4865262</v>
      </c>
      <c r="C45" s="361"/>
      <c r="D45" s="361"/>
      <c r="E45" s="360">
        <f>'Sources and Uses Budget'!S45</f>
        <v>2126144</v>
      </c>
      <c r="F45" s="361"/>
      <c r="G45" s="361"/>
      <c r="H45" s="360">
        <f>'Sources and Uses Budget'!T45</f>
        <v>0</v>
      </c>
      <c r="I45" s="361"/>
      <c r="J45" s="361"/>
      <c r="K45" s="358"/>
    </row>
    <row r="46" spans="1:11" s="359" customFormat="1">
      <c r="A46" s="363" t="s">
        <v>151</v>
      </c>
      <c r="B46" s="360">
        <f>'Sources and Uses Budget'!C46</f>
        <v>333653</v>
      </c>
      <c r="C46" s="361"/>
      <c r="D46" s="361"/>
      <c r="E46" s="360">
        <f>'Sources and Uses Budget'!S46</f>
        <v>121944</v>
      </c>
      <c r="F46" s="361"/>
      <c r="G46" s="361"/>
      <c r="H46" s="360">
        <f>'Sources and Uses Budget'!T46</f>
        <v>0</v>
      </c>
      <c r="I46" s="361"/>
      <c r="J46" s="361"/>
      <c r="K46" s="358"/>
    </row>
    <row r="47" spans="1:11" s="359" customFormat="1" ht="12" customHeight="1">
      <c r="A47" s="363" t="s">
        <v>152</v>
      </c>
      <c r="B47" s="360">
        <f>'Sources and Uses Budget'!C47</f>
        <v>0</v>
      </c>
      <c r="C47" s="361"/>
      <c r="D47" s="361"/>
      <c r="E47" s="360">
        <f>'Sources and Uses Budget'!S47</f>
        <v>0</v>
      </c>
      <c r="F47" s="361"/>
      <c r="G47" s="361"/>
      <c r="H47" s="360">
        <f>'Sources and Uses Budget'!T47</f>
        <v>0</v>
      </c>
      <c r="I47" s="361"/>
      <c r="J47" s="361"/>
      <c r="K47" s="358"/>
    </row>
    <row r="48" spans="1:11" s="359" customFormat="1">
      <c r="A48" s="363" t="s">
        <v>153</v>
      </c>
      <c r="B48" s="360">
        <f>'Sources and Uses Budget'!C48</f>
        <v>0</v>
      </c>
      <c r="C48" s="361"/>
      <c r="D48" s="361"/>
      <c r="E48" s="360">
        <f>'Sources and Uses Budget'!S48</f>
        <v>0</v>
      </c>
      <c r="F48" s="361"/>
      <c r="G48" s="361"/>
      <c r="H48" s="360">
        <f>'Sources and Uses Budget'!T48</f>
        <v>0</v>
      </c>
      <c r="I48" s="361"/>
      <c r="J48" s="361"/>
      <c r="K48" s="358"/>
    </row>
    <row r="49" spans="1:11" s="359" customFormat="1">
      <c r="A49" s="282" t="s">
        <v>57</v>
      </c>
      <c r="B49" s="360">
        <f>'Sources and Uses Budget'!C49</f>
        <v>383207</v>
      </c>
      <c r="C49" s="361"/>
      <c r="D49" s="361"/>
      <c r="E49" s="360">
        <f>'Sources and Uses Budget'!S49</f>
        <v>29254</v>
      </c>
      <c r="F49" s="361"/>
      <c r="G49" s="361"/>
      <c r="H49" s="360">
        <f>'Sources and Uses Budget'!T49</f>
        <v>0</v>
      </c>
      <c r="I49" s="361"/>
      <c r="J49" s="361"/>
      <c r="K49" s="358"/>
    </row>
    <row r="50" spans="1:11" s="359" customFormat="1">
      <c r="A50" s="363" t="s">
        <v>156</v>
      </c>
      <c r="B50" s="360">
        <f>'Sources and Uses Budget'!C50</f>
        <v>196496</v>
      </c>
      <c r="C50" s="361"/>
      <c r="D50" s="361"/>
      <c r="E50" s="360">
        <f>'Sources and Uses Budget'!S50</f>
        <v>196496</v>
      </c>
      <c r="F50" s="361"/>
      <c r="G50" s="361"/>
      <c r="H50" s="360">
        <f>'Sources and Uses Budget'!T50</f>
        <v>0</v>
      </c>
      <c r="I50" s="361"/>
      <c r="J50" s="361"/>
      <c r="K50" s="358"/>
    </row>
    <row r="51" spans="1:11" s="359" customFormat="1">
      <c r="A51" s="363" t="s">
        <v>154</v>
      </c>
      <c r="B51" s="360">
        <f>'Sources and Uses Budget'!C51</f>
        <v>14737</v>
      </c>
      <c r="C51" s="361"/>
      <c r="D51" s="361"/>
      <c r="E51" s="360">
        <f>'Sources and Uses Budget'!S51</f>
        <v>14737</v>
      </c>
      <c r="F51" s="361"/>
      <c r="G51" s="361"/>
      <c r="H51" s="360">
        <f>'Sources and Uses Budget'!T51</f>
        <v>0</v>
      </c>
      <c r="I51" s="361"/>
      <c r="J51" s="361"/>
      <c r="K51" s="358"/>
    </row>
    <row r="52" spans="1:11" s="359" customFormat="1">
      <c r="A52" s="363" t="s">
        <v>155</v>
      </c>
      <c r="B52" s="360">
        <f>'Sources and Uses Budget'!C52</f>
        <v>1287048</v>
      </c>
      <c r="C52" s="361"/>
      <c r="D52" s="361"/>
      <c r="E52" s="360">
        <f>'Sources and Uses Budget'!S52</f>
        <v>1287048</v>
      </c>
      <c r="F52" s="361"/>
      <c r="G52" s="361"/>
      <c r="H52" s="360">
        <f>'Sources and Uses Budget'!T52</f>
        <v>0</v>
      </c>
      <c r="I52" s="361"/>
      <c r="J52" s="361"/>
      <c r="K52" s="358"/>
    </row>
    <row r="53" spans="1:11" s="359" customFormat="1">
      <c r="A53" s="363" t="str">
        <f>'Sources and Uses Budget'!$A53</f>
        <v>Other: Lender Expenses</v>
      </c>
      <c r="B53" s="360">
        <f>'Sources and Uses Budget'!C53</f>
        <v>51400</v>
      </c>
      <c r="C53" s="361"/>
      <c r="D53" s="361"/>
      <c r="E53" s="360">
        <f>'Sources and Uses Budget'!S53</f>
        <v>18786</v>
      </c>
      <c r="F53" s="361"/>
      <c r="G53" s="361"/>
      <c r="H53" s="360">
        <f>'Sources and Uses Budget'!T53</f>
        <v>0</v>
      </c>
      <c r="I53" s="361"/>
      <c r="J53" s="361"/>
      <c r="K53" s="358"/>
    </row>
    <row r="54" spans="1:11" s="368" customFormat="1">
      <c r="A54" s="364" t="s">
        <v>157</v>
      </c>
      <c r="B54" s="360">
        <f>'Sources and Uses Budget'!C54</f>
        <v>7131803</v>
      </c>
      <c r="C54" s="366">
        <f>SUM(C45:C53)</f>
        <v>0</v>
      </c>
      <c r="D54" s="366">
        <f>SUM(D45:D53)</f>
        <v>0</v>
      </c>
      <c r="E54" s="360">
        <f>'Sources and Uses Budget'!S54</f>
        <v>3794409</v>
      </c>
      <c r="F54" s="366">
        <f>SUM(F45:F53)</f>
        <v>0</v>
      </c>
      <c r="G54" s="366">
        <f>SUM(G45:G53)</f>
        <v>0</v>
      </c>
      <c r="H54" s="360">
        <f>'Sources and Uses Budget'!T54</f>
        <v>0</v>
      </c>
      <c r="I54" s="366">
        <f>SUM(I45:I53)</f>
        <v>0</v>
      </c>
      <c r="J54" s="366">
        <f>SUM(J45:J53)</f>
        <v>0</v>
      </c>
      <c r="K54" s="367"/>
    </row>
    <row r="55" spans="1:11" s="359" customFormat="1">
      <c r="A55" s="356" t="s">
        <v>418</v>
      </c>
      <c r="B55" s="357"/>
      <c r="C55" s="357"/>
      <c r="D55" s="357"/>
      <c r="E55" s="357"/>
      <c r="F55" s="357"/>
      <c r="G55" s="357"/>
      <c r="H55" s="357"/>
      <c r="I55" s="357"/>
      <c r="J55" s="357"/>
      <c r="K55" s="358"/>
    </row>
    <row r="56" spans="1:11" s="359" customFormat="1">
      <c r="A56" s="363" t="s">
        <v>158</v>
      </c>
      <c r="B56" s="360">
        <f>'Sources and Uses Budget'!C56</f>
        <v>103590</v>
      </c>
      <c r="C56" s="361"/>
      <c r="D56" s="361"/>
      <c r="E56" s="362"/>
      <c r="F56" s="362"/>
      <c r="G56" s="362"/>
      <c r="H56" s="362"/>
      <c r="I56" s="362"/>
      <c r="J56" s="362"/>
      <c r="K56" s="358"/>
    </row>
    <row r="57" spans="1:11" s="359" customFormat="1" ht="12" customHeight="1">
      <c r="A57" s="363" t="s">
        <v>152</v>
      </c>
      <c r="B57" s="360">
        <f>'Sources and Uses Budget'!C57</f>
        <v>0</v>
      </c>
      <c r="C57" s="361"/>
      <c r="D57" s="361"/>
      <c r="E57" s="362"/>
      <c r="F57" s="362"/>
      <c r="G57" s="362"/>
      <c r="H57" s="362"/>
      <c r="I57" s="362"/>
      <c r="J57" s="362"/>
      <c r="K57" s="358"/>
    </row>
    <row r="58" spans="1:11" s="359" customFormat="1">
      <c r="A58" s="363" t="s">
        <v>156</v>
      </c>
      <c r="B58" s="360">
        <f>'Sources and Uses Budget'!C58</f>
        <v>36436</v>
      </c>
      <c r="C58" s="361"/>
      <c r="D58" s="361"/>
      <c r="E58" s="362"/>
      <c r="F58" s="362"/>
      <c r="G58" s="362"/>
      <c r="H58" s="362"/>
      <c r="I58" s="362"/>
      <c r="J58" s="362"/>
      <c r="K58" s="358"/>
    </row>
    <row r="59" spans="1:11" s="359" customFormat="1">
      <c r="A59" s="363" t="s">
        <v>154</v>
      </c>
      <c r="B59" s="360">
        <f>'Sources and Uses Budget'!C59</f>
        <v>0</v>
      </c>
      <c r="C59" s="361"/>
      <c r="D59" s="361"/>
      <c r="E59" s="362"/>
      <c r="F59" s="362"/>
      <c r="G59" s="362"/>
      <c r="H59" s="362"/>
      <c r="I59" s="362"/>
      <c r="J59" s="362"/>
      <c r="K59" s="358"/>
    </row>
    <row r="60" spans="1:11" s="359" customFormat="1">
      <c r="A60" s="363" t="s">
        <v>155</v>
      </c>
      <c r="B60" s="360">
        <f>'Sources and Uses Budget'!C60</f>
        <v>0</v>
      </c>
      <c r="C60" s="361"/>
      <c r="D60" s="361"/>
      <c r="E60" s="362"/>
      <c r="F60" s="362"/>
      <c r="G60" s="362"/>
      <c r="H60" s="362"/>
      <c r="I60" s="362"/>
      <c r="J60" s="362"/>
      <c r="K60" s="358"/>
    </row>
    <row r="61" spans="1:11" s="359" customFormat="1">
      <c r="A61" s="363" t="str">
        <f>'Sources and Uses Budget'!$A61</f>
        <v>Other: Lender Expenses</v>
      </c>
      <c r="B61" s="360">
        <f>'Sources and Uses Budget'!C61</f>
        <v>49650</v>
      </c>
      <c r="C61" s="361"/>
      <c r="D61" s="361"/>
      <c r="E61" s="362"/>
      <c r="F61" s="362"/>
      <c r="G61" s="362"/>
      <c r="H61" s="362"/>
      <c r="I61" s="362"/>
      <c r="J61" s="362"/>
      <c r="K61" s="358"/>
    </row>
    <row r="62" spans="1:11" s="359" customFormat="1" ht="13.7" customHeight="1">
      <c r="A62" s="364" t="s">
        <v>301</v>
      </c>
      <c r="B62" s="360">
        <f>'Sources and Uses Budget'!C62</f>
        <v>189676</v>
      </c>
      <c r="C62" s="360">
        <f>SUM(C56:C61)</f>
        <v>0</v>
      </c>
      <c r="D62" s="360">
        <f>SUM(D56:D61)</f>
        <v>0</v>
      </c>
      <c r="E62" s="362"/>
      <c r="F62" s="362"/>
      <c r="G62" s="362"/>
      <c r="H62" s="362"/>
      <c r="I62" s="362"/>
      <c r="J62" s="362"/>
      <c r="K62" s="358"/>
    </row>
    <row r="63" spans="1:11" s="359" customFormat="1">
      <c r="A63" s="369" t="s">
        <v>302</v>
      </c>
      <c r="B63" s="360">
        <f>'Sources and Uses Budget'!C63</f>
        <v>70358970</v>
      </c>
      <c r="C63" s="360">
        <f>SUM(C8+C11+C13+C14+C15+C26+C27+C38+C42+C43+C54+C62)</f>
        <v>0</v>
      </c>
      <c r="D63" s="360">
        <f>SUM(D8+D11+D13+D14+D15+D26+D27+D38+D42+D43+D54+D62)</f>
        <v>0</v>
      </c>
      <c r="E63" s="360">
        <f>'Sources and Uses Budget'!S63</f>
        <v>66831802</v>
      </c>
      <c r="F63" s="360">
        <f>SUM(F10+F13+F14+F15+F26+F27+F38+F42+F43+F54)</f>
        <v>0</v>
      </c>
      <c r="G63" s="360">
        <f>SUM(G10+G13+G14+G15+G26+G27+G38+G42+G43+G54)</f>
        <v>0</v>
      </c>
      <c r="H63" s="360">
        <f>'Sources and Uses Budget'!T63</f>
        <v>0</v>
      </c>
      <c r="I63" s="360">
        <f>SUM(I11+I13+I14+I15+I26+I27+I38+I42+I43+I54)</f>
        <v>0</v>
      </c>
      <c r="J63" s="360">
        <f>SUM(J11+J13+J14+J15+J26+J27+J38+J42+J43+J54)</f>
        <v>0</v>
      </c>
      <c r="K63" s="358"/>
    </row>
    <row r="64" spans="1:11" s="359" customFormat="1" ht="24">
      <c r="A64" s="141" t="s">
        <v>1645</v>
      </c>
      <c r="B64" s="357"/>
      <c r="C64" s="357"/>
      <c r="D64" s="357"/>
      <c r="E64" s="357"/>
      <c r="F64" s="357"/>
      <c r="G64" s="357"/>
      <c r="H64" s="357"/>
      <c r="I64" s="357"/>
      <c r="J64" s="357"/>
      <c r="K64" s="358"/>
    </row>
    <row r="65" spans="1:11" s="359" customFormat="1">
      <c r="A65" s="145" t="s">
        <v>171</v>
      </c>
      <c r="B65" s="360">
        <f>'Sources and Uses Budget'!C65</f>
        <v>165000</v>
      </c>
      <c r="C65" s="361"/>
      <c r="D65" s="361"/>
      <c r="E65" s="360">
        <f>'Sources and Uses Budget'!S65</f>
        <v>29239</v>
      </c>
      <c r="F65" s="361"/>
      <c r="G65" s="361"/>
      <c r="H65" s="360">
        <f>'Sources and Uses Budget'!T65</f>
        <v>0</v>
      </c>
      <c r="I65" s="361"/>
      <c r="J65" s="361"/>
      <c r="K65" s="358"/>
    </row>
    <row r="66" spans="1:11" s="359" customFormat="1" ht="24">
      <c r="A66" s="282" t="s">
        <v>1642</v>
      </c>
      <c r="B66" s="360">
        <f>'Sources and Uses Budget'!C66</f>
        <v>0</v>
      </c>
      <c r="C66" s="361"/>
      <c r="D66" s="361"/>
      <c r="E66" s="360">
        <f>'Sources and Uses Budget'!S66</f>
        <v>0</v>
      </c>
      <c r="F66" s="361"/>
      <c r="G66" s="361"/>
      <c r="H66" s="360">
        <f>'Sources and Uses Budget'!T66</f>
        <v>0</v>
      </c>
      <c r="I66" s="361"/>
      <c r="J66" s="361"/>
      <c r="K66" s="358"/>
    </row>
    <row r="67" spans="1:11" s="359" customFormat="1" ht="24">
      <c r="A67" s="282" t="s">
        <v>1643</v>
      </c>
      <c r="B67" s="360">
        <f>'Sources and Uses Budget'!C67</f>
        <v>0</v>
      </c>
      <c r="C67" s="361"/>
      <c r="D67" s="361"/>
      <c r="E67" s="360">
        <f>'Sources and Uses Budget'!S67</f>
        <v>0</v>
      </c>
      <c r="F67" s="361"/>
      <c r="G67" s="361"/>
      <c r="H67" s="360">
        <f>'Sources and Uses Budget'!T67</f>
        <v>0</v>
      </c>
      <c r="I67" s="361"/>
      <c r="J67" s="361"/>
      <c r="K67" s="358"/>
    </row>
    <row r="68" spans="1:11" s="359" customFormat="1">
      <c r="A68" s="282" t="s">
        <v>1649</v>
      </c>
      <c r="B68" s="360">
        <f>'Sources and Uses Budget'!C68</f>
        <v>0</v>
      </c>
      <c r="C68" s="361"/>
      <c r="D68" s="361"/>
      <c r="E68" s="360">
        <f>'Sources and Uses Budget'!S68</f>
        <v>0</v>
      </c>
      <c r="F68" s="361"/>
      <c r="G68" s="361"/>
      <c r="H68" s="360">
        <f>'Sources and Uses Budget'!T68</f>
        <v>0</v>
      </c>
      <c r="I68" s="361"/>
      <c r="J68" s="361"/>
      <c r="K68" s="358"/>
    </row>
    <row r="69" spans="1:11" s="359" customFormat="1">
      <c r="A69" s="363" t="str">
        <f>'Sources and Uses Budget'!$A69</f>
        <v>Other: GP/Sponsor Counsel</v>
      </c>
      <c r="B69" s="360">
        <f>'Sources and Uses Budget'!C69</f>
        <v>117898</v>
      </c>
      <c r="C69" s="361"/>
      <c r="D69" s="361"/>
      <c r="E69" s="360">
        <f>'Sources and Uses Budget'!S69</f>
        <v>93336</v>
      </c>
      <c r="F69" s="361"/>
      <c r="G69" s="361"/>
      <c r="H69" s="360">
        <f>'Sources and Uses Budget'!T69</f>
        <v>0</v>
      </c>
      <c r="I69" s="361"/>
      <c r="J69" s="361"/>
      <c r="K69" s="358"/>
    </row>
    <row r="70" spans="1:11" s="359" customFormat="1">
      <c r="A70" s="364" t="s">
        <v>602</v>
      </c>
      <c r="B70" s="360">
        <f>'Sources and Uses Budget'!C70</f>
        <v>282898</v>
      </c>
      <c r="C70" s="360">
        <f>SUM(C64:C69)</f>
        <v>0</v>
      </c>
      <c r="D70" s="360">
        <f>SUM(D64:D69)</f>
        <v>0</v>
      </c>
      <c r="E70" s="360">
        <f>'Sources and Uses Budget'!S70</f>
        <v>122575</v>
      </c>
      <c r="F70" s="366">
        <f>SUM(F65:F69)</f>
        <v>0</v>
      </c>
      <c r="G70" s="366">
        <f>SUM(G65:G69)</f>
        <v>0</v>
      </c>
      <c r="H70" s="360">
        <f>'Sources and Uses Budget'!T70</f>
        <v>0</v>
      </c>
      <c r="I70" s="366">
        <f>SUM(I65:I69)</f>
        <v>0</v>
      </c>
      <c r="J70" s="366">
        <f>SUM(J65:J69)</f>
        <v>0</v>
      </c>
      <c r="K70" s="358"/>
    </row>
    <row r="71" spans="1:11" s="359" customFormat="1">
      <c r="A71" s="356" t="s">
        <v>603</v>
      </c>
      <c r="B71" s="357"/>
      <c r="C71" s="357"/>
      <c r="D71" s="357"/>
      <c r="E71" s="357"/>
      <c r="F71" s="357"/>
      <c r="G71" s="357"/>
      <c r="H71" s="357"/>
      <c r="I71" s="357"/>
      <c r="J71" s="357"/>
      <c r="K71" s="358"/>
    </row>
    <row r="72" spans="1:11" s="359" customFormat="1">
      <c r="A72" s="363" t="s">
        <v>604</v>
      </c>
      <c r="B72" s="360">
        <f>'Sources and Uses Budget'!C72</f>
        <v>0</v>
      </c>
      <c r="C72" s="361"/>
      <c r="D72" s="361"/>
      <c r="E72" s="362"/>
      <c r="F72" s="362"/>
      <c r="G72" s="362"/>
      <c r="H72" s="362"/>
      <c r="I72" s="362"/>
      <c r="J72" s="362"/>
      <c r="K72" s="358"/>
    </row>
    <row r="73" spans="1:11" s="359" customFormat="1">
      <c r="A73" s="363" t="s">
        <v>605</v>
      </c>
      <c r="B73" s="360">
        <f>'Sources and Uses Budget'!C73</f>
        <v>0</v>
      </c>
      <c r="C73" s="361"/>
      <c r="D73" s="361"/>
      <c r="E73" s="362"/>
      <c r="F73" s="362"/>
      <c r="G73" s="362"/>
      <c r="H73" s="362"/>
      <c r="I73" s="362"/>
      <c r="J73" s="362"/>
      <c r="K73" s="358"/>
    </row>
    <row r="74" spans="1:11" s="359" customFormat="1">
      <c r="A74" s="365" t="s">
        <v>987</v>
      </c>
      <c r="B74" s="360">
        <f>'Sources and Uses Budget'!C74</f>
        <v>0</v>
      </c>
      <c r="C74" s="361"/>
      <c r="D74" s="361"/>
      <c r="E74" s="362"/>
      <c r="F74" s="362"/>
      <c r="G74" s="362"/>
      <c r="H74" s="362"/>
      <c r="I74" s="362"/>
      <c r="J74" s="362"/>
      <c r="K74" s="358"/>
    </row>
    <row r="75" spans="1:11" s="359" customFormat="1">
      <c r="A75" s="363" t="s">
        <v>606</v>
      </c>
      <c r="B75" s="360">
        <f>'Sources and Uses Budget'!C75</f>
        <v>660010</v>
      </c>
      <c r="C75" s="361"/>
      <c r="D75" s="361"/>
      <c r="E75" s="362"/>
      <c r="F75" s="362"/>
      <c r="G75" s="362"/>
      <c r="H75" s="362"/>
      <c r="I75" s="362"/>
      <c r="J75" s="362"/>
      <c r="K75" s="358"/>
    </row>
    <row r="76" spans="1:11" s="359" customFormat="1">
      <c r="A76" s="363" t="str">
        <f>'Sources and Uses Budget'!$A76</f>
        <v>Other: HCD Pooled Reserve</v>
      </c>
      <c r="B76" s="360">
        <f>'Sources and Uses Budget'!C76</f>
        <v>255312</v>
      </c>
      <c r="C76" s="361"/>
      <c r="D76" s="361"/>
      <c r="E76" s="362"/>
      <c r="F76" s="362"/>
      <c r="G76" s="362"/>
      <c r="H76" s="362"/>
      <c r="I76" s="362"/>
      <c r="J76" s="362"/>
      <c r="K76" s="358"/>
    </row>
    <row r="77" spans="1:11" s="359" customFormat="1">
      <c r="A77" s="364" t="s">
        <v>607</v>
      </c>
      <c r="B77" s="360">
        <f>'Sources and Uses Budget'!C77</f>
        <v>915322</v>
      </c>
      <c r="C77" s="360">
        <f>SUM(C72:C76)</f>
        <v>0</v>
      </c>
      <c r="D77" s="360">
        <f>SUM(D72:D76)</f>
        <v>0</v>
      </c>
      <c r="E77" s="362"/>
      <c r="F77" s="362"/>
      <c r="G77" s="362"/>
      <c r="H77" s="362"/>
      <c r="I77" s="362"/>
      <c r="J77" s="362"/>
      <c r="K77" s="358"/>
    </row>
    <row r="78" spans="1:11" s="359" customFormat="1">
      <c r="A78" s="356" t="s">
        <v>1211</v>
      </c>
      <c r="B78" s="357"/>
      <c r="C78" s="357"/>
      <c r="D78" s="357"/>
      <c r="E78" s="357"/>
      <c r="F78" s="357"/>
      <c r="G78" s="357"/>
      <c r="H78" s="357"/>
      <c r="I78" s="357"/>
      <c r="J78" s="357"/>
      <c r="K78" s="358"/>
    </row>
    <row r="79" spans="1:11" s="359" customFormat="1">
      <c r="A79" s="363" t="s">
        <v>1213</v>
      </c>
      <c r="B79" s="360">
        <f>'Sources and Uses Budget'!C79</f>
        <v>2982923</v>
      </c>
      <c r="C79" s="361"/>
      <c r="D79" s="361"/>
      <c r="E79" s="360">
        <f>'Sources and Uses Budget'!S79</f>
        <v>2982923</v>
      </c>
      <c r="F79" s="361"/>
      <c r="G79" s="361"/>
      <c r="H79" s="360">
        <f>'Sources and Uses Budget'!T79</f>
        <v>0</v>
      </c>
      <c r="I79" s="361"/>
      <c r="J79" s="361"/>
      <c r="K79" s="358"/>
    </row>
    <row r="80" spans="1:11" s="359" customFormat="1">
      <c r="A80" s="363" t="s">
        <v>58</v>
      </c>
      <c r="B80" s="360">
        <f>'Sources and Uses Budget'!C80</f>
        <v>350212</v>
      </c>
      <c r="C80" s="361"/>
      <c r="D80" s="361"/>
      <c r="E80" s="360">
        <f>'Sources and Uses Budget'!S80</f>
        <v>350212</v>
      </c>
      <c r="F80" s="361"/>
      <c r="G80" s="361"/>
      <c r="H80" s="360">
        <f>'Sources and Uses Budget'!T80</f>
        <v>0</v>
      </c>
      <c r="I80" s="361"/>
      <c r="J80" s="361"/>
      <c r="K80" s="358"/>
    </row>
    <row r="81" spans="1:11" s="359" customFormat="1">
      <c r="A81" s="364" t="s">
        <v>1210</v>
      </c>
      <c r="B81" s="360">
        <f>'Sources and Uses Budget'!C81</f>
        <v>3333135</v>
      </c>
      <c r="C81" s="360">
        <f>SUM(C79:C80)</f>
        <v>0</v>
      </c>
      <c r="D81" s="360">
        <f>SUM(D79:D80)</f>
        <v>0</v>
      </c>
      <c r="E81" s="360">
        <f>'Sources and Uses Budget'!S81</f>
        <v>3333135</v>
      </c>
      <c r="F81" s="360">
        <f>SUM(F79:F80)</f>
        <v>0</v>
      </c>
      <c r="G81" s="360">
        <f>SUM(G79:G80)</f>
        <v>0</v>
      </c>
      <c r="H81" s="360">
        <f>'Sources and Uses Budget'!T81</f>
        <v>0</v>
      </c>
      <c r="I81" s="360">
        <f>SUM(I79:I80)</f>
        <v>0</v>
      </c>
      <c r="J81" s="360">
        <f>SUM(J79:J80)</f>
        <v>0</v>
      </c>
      <c r="K81" s="358"/>
    </row>
    <row r="82" spans="1:11" s="359" customFormat="1">
      <c r="A82" s="356" t="s">
        <v>766</v>
      </c>
      <c r="B82" s="357"/>
      <c r="C82" s="357"/>
      <c r="D82" s="357"/>
      <c r="E82" s="357"/>
      <c r="F82" s="357"/>
      <c r="G82" s="357"/>
      <c r="H82" s="357"/>
      <c r="I82" s="357"/>
      <c r="J82" s="357"/>
      <c r="K82" s="358"/>
    </row>
    <row r="83" spans="1:11" s="359" customFormat="1" ht="13.7" customHeight="1">
      <c r="A83" s="145" t="s">
        <v>2096</v>
      </c>
      <c r="B83" s="360">
        <f>'Sources and Uses Budget'!C83</f>
        <v>147849</v>
      </c>
      <c r="C83" s="361"/>
      <c r="D83" s="361"/>
      <c r="E83" s="362"/>
      <c r="F83" s="362"/>
      <c r="G83" s="362"/>
      <c r="H83" s="362"/>
      <c r="I83" s="362"/>
      <c r="J83" s="362"/>
      <c r="K83" s="358"/>
    </row>
    <row r="84" spans="1:11" s="359" customFormat="1">
      <c r="A84" s="145" t="s">
        <v>768</v>
      </c>
      <c r="B84" s="360">
        <f>'Sources and Uses Budget'!C84</f>
        <v>0</v>
      </c>
      <c r="C84" s="361"/>
      <c r="D84" s="361"/>
      <c r="E84" s="360">
        <f>'Sources and Uses Budget'!S84</f>
        <v>0</v>
      </c>
      <c r="F84" s="361"/>
      <c r="G84" s="361"/>
      <c r="H84" s="360">
        <f>'Sources and Uses Budget'!T84</f>
        <v>0</v>
      </c>
      <c r="I84" s="361"/>
      <c r="J84" s="361"/>
      <c r="K84" s="358"/>
    </row>
    <row r="85" spans="1:11" s="359" customFormat="1">
      <c r="A85" s="145" t="s">
        <v>769</v>
      </c>
      <c r="B85" s="360">
        <f>'Sources and Uses Budget'!C85</f>
        <v>925116</v>
      </c>
      <c r="C85" s="361"/>
      <c r="D85" s="361"/>
      <c r="E85" s="360">
        <f>'Sources and Uses Budget'!S85</f>
        <v>925116</v>
      </c>
      <c r="F85" s="361"/>
      <c r="G85" s="361"/>
      <c r="H85" s="360">
        <f>'Sources and Uses Budget'!T85</f>
        <v>0</v>
      </c>
      <c r="I85" s="361"/>
      <c r="J85" s="361"/>
      <c r="K85" s="358"/>
    </row>
    <row r="86" spans="1:11" s="359" customFormat="1">
      <c r="A86" s="145" t="s">
        <v>770</v>
      </c>
      <c r="B86" s="360">
        <f>'Sources and Uses Budget'!C86</f>
        <v>24562</v>
      </c>
      <c r="C86" s="361"/>
      <c r="D86" s="361"/>
      <c r="E86" s="360">
        <f>'Sources and Uses Budget'!S86</f>
        <v>24562</v>
      </c>
      <c r="F86" s="361"/>
      <c r="G86" s="361"/>
      <c r="H86" s="360">
        <f>'Sources and Uses Budget'!T86</f>
        <v>0</v>
      </c>
      <c r="I86" s="361"/>
      <c r="J86" s="361"/>
      <c r="K86" s="358"/>
    </row>
    <row r="87" spans="1:11" s="359" customFormat="1">
      <c r="A87" s="145" t="s">
        <v>771</v>
      </c>
      <c r="B87" s="360">
        <f>'Sources and Uses Budget'!C87</f>
        <v>0</v>
      </c>
      <c r="C87" s="361"/>
      <c r="D87" s="361"/>
      <c r="E87" s="360">
        <f>'Sources and Uses Budget'!S87</f>
        <v>0</v>
      </c>
      <c r="F87" s="361"/>
      <c r="G87" s="361"/>
      <c r="H87" s="360">
        <f>'Sources and Uses Budget'!T87</f>
        <v>0</v>
      </c>
      <c r="I87" s="361"/>
      <c r="J87" s="361"/>
      <c r="K87" s="358"/>
    </row>
    <row r="88" spans="1:11" s="359" customFormat="1">
      <c r="A88" s="145" t="s">
        <v>772</v>
      </c>
      <c r="B88" s="360">
        <f>'Sources and Uses Budget'!C88</f>
        <v>80000</v>
      </c>
      <c r="C88" s="361"/>
      <c r="D88" s="361"/>
      <c r="E88" s="362"/>
      <c r="F88" s="362"/>
      <c r="G88" s="362"/>
      <c r="H88" s="362"/>
      <c r="I88" s="362"/>
      <c r="J88" s="362"/>
      <c r="K88" s="358"/>
    </row>
    <row r="89" spans="1:11" s="359" customFormat="1">
      <c r="A89" s="145" t="s">
        <v>773</v>
      </c>
      <c r="B89" s="360">
        <f>'Sources and Uses Budget'!C89</f>
        <v>450000</v>
      </c>
      <c r="C89" s="361"/>
      <c r="D89" s="361"/>
      <c r="E89" s="360">
        <f>'Sources and Uses Budget'!S89</f>
        <v>450000</v>
      </c>
      <c r="F89" s="361"/>
      <c r="G89" s="361"/>
      <c r="H89" s="360">
        <f>'Sources and Uses Budget'!T89</f>
        <v>0</v>
      </c>
      <c r="I89" s="361"/>
      <c r="J89" s="361"/>
      <c r="K89" s="358"/>
    </row>
    <row r="90" spans="1:11" s="359" customFormat="1">
      <c r="A90" s="145" t="s">
        <v>774</v>
      </c>
      <c r="B90" s="360">
        <f>'Sources and Uses Budget'!C90</f>
        <v>15000</v>
      </c>
      <c r="C90" s="361"/>
      <c r="D90" s="361"/>
      <c r="E90" s="360">
        <f>'Sources and Uses Budget'!S90</f>
        <v>0</v>
      </c>
      <c r="F90" s="361"/>
      <c r="G90" s="361"/>
      <c r="H90" s="360">
        <f>'Sources and Uses Budget'!T90</f>
        <v>0</v>
      </c>
      <c r="I90" s="361"/>
      <c r="J90" s="361"/>
      <c r="K90" s="358"/>
    </row>
    <row r="91" spans="1:11" s="359" customFormat="1">
      <c r="A91" s="155" t="s">
        <v>372</v>
      </c>
      <c r="B91" s="360">
        <f>'Sources and Uses Budget'!C91</f>
        <v>0</v>
      </c>
      <c r="C91" s="361"/>
      <c r="D91" s="361"/>
      <c r="E91" s="360">
        <f>'Sources and Uses Budget'!S91</f>
        <v>0</v>
      </c>
      <c r="F91" s="361"/>
      <c r="G91" s="361"/>
      <c r="H91" s="360">
        <f>'Sources and Uses Budget'!T91</f>
        <v>0</v>
      </c>
      <c r="I91" s="361"/>
      <c r="J91" s="361"/>
      <c r="K91" s="358"/>
    </row>
    <row r="92" spans="1:11" s="359" customFormat="1">
      <c r="A92" s="507" t="s">
        <v>1212</v>
      </c>
      <c r="B92" s="360">
        <f>'Sources and Uses Budget'!C92</f>
        <v>14737</v>
      </c>
      <c r="C92" s="361"/>
      <c r="D92" s="361"/>
      <c r="E92" s="360">
        <f>'Sources and Uses Budget'!S92</f>
        <v>14737</v>
      </c>
      <c r="F92" s="361"/>
      <c r="G92" s="361"/>
      <c r="H92" s="360">
        <f>'Sources and Uses Budget'!T92</f>
        <v>0</v>
      </c>
      <c r="I92" s="361"/>
      <c r="J92" s="361"/>
      <c r="K92" s="358"/>
    </row>
    <row r="93" spans="1:11" s="359" customFormat="1">
      <c r="A93" s="363" t="str">
        <f>'Sources and Uses Budget'!$A93</f>
        <v>Other: Security During Construction</v>
      </c>
      <c r="B93" s="360">
        <f>'Sources and Uses Budget'!C93</f>
        <v>176846</v>
      </c>
      <c r="C93" s="361"/>
      <c r="D93" s="361"/>
      <c r="E93" s="360">
        <f>'Sources and Uses Budget'!S93</f>
        <v>176846</v>
      </c>
      <c r="F93" s="361"/>
      <c r="G93" s="361"/>
      <c r="H93" s="360">
        <f>'Sources and Uses Budget'!T93</f>
        <v>0</v>
      </c>
      <c r="I93" s="361"/>
      <c r="J93" s="361"/>
      <c r="K93" s="358"/>
    </row>
    <row r="94" spans="1:11" s="359" customFormat="1">
      <c r="A94" s="363" t="str">
        <f>'Sources and Uses Budget'!$A94</f>
        <v>Other: Special Inspections/Testing</v>
      </c>
      <c r="B94" s="360">
        <f>'Sources and Uses Budget'!C94</f>
        <v>171934</v>
      </c>
      <c r="C94" s="361"/>
      <c r="D94" s="361"/>
      <c r="E94" s="360">
        <f>'Sources and Uses Budget'!S94</f>
        <v>171934</v>
      </c>
      <c r="F94" s="361"/>
      <c r="G94" s="361"/>
      <c r="H94" s="360">
        <f>'Sources and Uses Budget'!T94</f>
        <v>0</v>
      </c>
      <c r="I94" s="361"/>
      <c r="J94" s="361"/>
      <c r="K94" s="358"/>
    </row>
    <row r="95" spans="1:11" s="359" customFormat="1">
      <c r="A95" s="363" t="str">
        <f>'Sources and Uses Budget'!$A95</f>
        <v>Other: (Specify)</v>
      </c>
      <c r="B95" s="360">
        <f>'Sources and Uses Budget'!C95</f>
        <v>0</v>
      </c>
      <c r="C95" s="361"/>
      <c r="D95" s="361"/>
      <c r="E95" s="360">
        <f>'Sources and Uses Budget'!S95</f>
        <v>0</v>
      </c>
      <c r="F95" s="361"/>
      <c r="G95" s="361"/>
      <c r="H95" s="360">
        <f>'Sources and Uses Budget'!T95</f>
        <v>0</v>
      </c>
      <c r="I95" s="361"/>
      <c r="J95" s="361"/>
      <c r="K95" s="358"/>
    </row>
    <row r="96" spans="1:11" s="359" customFormat="1">
      <c r="A96" s="364" t="s">
        <v>775</v>
      </c>
      <c r="B96" s="360">
        <f>'Sources and Uses Budget'!C96</f>
        <v>2006044</v>
      </c>
      <c r="C96" s="360">
        <f>SUM(C83:C95)</f>
        <v>0</v>
      </c>
      <c r="D96" s="360">
        <f>SUM(D83:D95)</f>
        <v>0</v>
      </c>
      <c r="E96" s="360">
        <f>'Sources and Uses Budget'!S96</f>
        <v>1763195</v>
      </c>
      <c r="F96" s="366">
        <f>SUM(F84:F87,F89:F95)</f>
        <v>0</v>
      </c>
      <c r="G96" s="366">
        <f>SUM(G84:G87,G89:G95)</f>
        <v>0</v>
      </c>
      <c r="H96" s="360">
        <f>'Sources and Uses Budget'!T96</f>
        <v>0</v>
      </c>
      <c r="I96" s="360">
        <f>SUM(I84:I87,I89:I95)</f>
        <v>0</v>
      </c>
      <c r="J96" s="360">
        <f>SUM(J84:J87,J89:J95)</f>
        <v>0</v>
      </c>
      <c r="K96" s="358"/>
    </row>
    <row r="97" spans="1:11" s="359" customFormat="1">
      <c r="A97" s="364" t="s">
        <v>1030</v>
      </c>
      <c r="B97" s="360">
        <f>'Sources and Uses Budget'!C97</f>
        <v>76896369</v>
      </c>
      <c r="C97" s="360">
        <f>SUM(C63+C70+C77+C81+C96)</f>
        <v>0</v>
      </c>
      <c r="D97" s="360">
        <f>SUM(D63+D70+D77+D81+D96)</f>
        <v>0</v>
      </c>
      <c r="E97" s="360">
        <f>'Sources and Uses Budget'!S97</f>
        <v>72050707</v>
      </c>
      <c r="F97" s="366">
        <f>SUM(+F63+F70+F81+F96)</f>
        <v>0</v>
      </c>
      <c r="G97" s="366">
        <f>SUM(+G63+G70+G81+G96)</f>
        <v>0</v>
      </c>
      <c r="H97" s="360">
        <f>'Sources and Uses Budget'!T97</f>
        <v>0</v>
      </c>
      <c r="I97" s="366">
        <f>SUM(I63+I70+I81+I96)</f>
        <v>0</v>
      </c>
      <c r="J97" s="366">
        <f>SUM(J63+J70+J81+J96)</f>
        <v>0</v>
      </c>
      <c r="K97" s="358"/>
    </row>
    <row r="98" spans="1:11" s="359" customFormat="1">
      <c r="A98" s="356" t="s">
        <v>777</v>
      </c>
      <c r="B98" s="357"/>
      <c r="C98" s="357"/>
      <c r="D98" s="357"/>
      <c r="E98" s="357"/>
      <c r="F98" s="357"/>
      <c r="G98" s="357"/>
      <c r="H98" s="357"/>
      <c r="I98" s="357"/>
      <c r="J98" s="357"/>
      <c r="K98" s="358"/>
    </row>
    <row r="99" spans="1:11" s="359" customFormat="1">
      <c r="A99" s="145" t="s">
        <v>778</v>
      </c>
      <c r="B99" s="360">
        <f>'Sources and Uses Budget'!C99</f>
        <v>7466845</v>
      </c>
      <c r="C99" s="361"/>
      <c r="D99" s="361"/>
      <c r="E99" s="360">
        <f>'Sources and Uses Budget'!S99</f>
        <v>7466845</v>
      </c>
      <c r="F99" s="361"/>
      <c r="G99" s="361"/>
      <c r="H99" s="360">
        <f>'Sources and Uses Budget'!T99</f>
        <v>0</v>
      </c>
      <c r="I99" s="361"/>
      <c r="J99" s="361"/>
      <c r="K99" s="358"/>
    </row>
    <row r="100" spans="1:11" s="359" customFormat="1">
      <c r="A100" s="282" t="s">
        <v>1647</v>
      </c>
      <c r="B100" s="360">
        <f>'Sources and Uses Budget'!C100</f>
        <v>0</v>
      </c>
      <c r="C100" s="361"/>
      <c r="D100" s="361"/>
      <c r="E100" s="360">
        <f>'Sources and Uses Budget'!S100</f>
        <v>0</v>
      </c>
      <c r="F100" s="361"/>
      <c r="G100" s="361"/>
      <c r="H100" s="360">
        <f>'Sources and Uses Budget'!T100</f>
        <v>0</v>
      </c>
      <c r="I100" s="361"/>
      <c r="J100" s="361"/>
      <c r="K100" s="358"/>
    </row>
    <row r="101" spans="1:11" s="359" customFormat="1">
      <c r="A101" s="145" t="s">
        <v>779</v>
      </c>
      <c r="B101" s="360">
        <f>'Sources and Uses Budget'!C101</f>
        <v>0</v>
      </c>
      <c r="C101" s="361"/>
      <c r="D101" s="361"/>
      <c r="E101" s="360">
        <f>'Sources and Uses Budget'!S101</f>
        <v>0</v>
      </c>
      <c r="F101" s="361"/>
      <c r="G101" s="361"/>
      <c r="H101" s="360">
        <f>'Sources and Uses Budget'!T101</f>
        <v>0</v>
      </c>
      <c r="I101" s="361"/>
      <c r="J101" s="361"/>
      <c r="K101" s="358"/>
    </row>
    <row r="102" spans="1:11" s="359" customFormat="1" ht="12" customHeight="1">
      <c r="A102" s="282" t="s">
        <v>1648</v>
      </c>
      <c r="B102" s="360">
        <f>'Sources and Uses Budget'!C102</f>
        <v>0</v>
      </c>
      <c r="C102" s="361"/>
      <c r="D102" s="361"/>
      <c r="E102" s="360">
        <f>'Sources and Uses Budget'!S102</f>
        <v>0</v>
      </c>
      <c r="F102" s="361"/>
      <c r="G102" s="361"/>
      <c r="H102" s="360">
        <f>'Sources and Uses Budget'!T102</f>
        <v>0</v>
      </c>
      <c r="I102" s="361"/>
      <c r="J102" s="361"/>
      <c r="K102" s="358"/>
    </row>
    <row r="103" spans="1:11" s="359" customFormat="1">
      <c r="A103" s="363" t="str">
        <f>'Sources and Uses Budget'!$A103</f>
        <v>Other: (Specify)</v>
      </c>
      <c r="B103" s="360">
        <f>'Sources and Uses Budget'!C103</f>
        <v>0</v>
      </c>
      <c r="C103" s="361"/>
      <c r="D103" s="361"/>
      <c r="E103" s="360">
        <f>'Sources and Uses Budget'!S103</f>
        <v>0</v>
      </c>
      <c r="F103" s="361"/>
      <c r="G103" s="361"/>
      <c r="H103" s="360">
        <f>'Sources and Uses Budget'!T103</f>
        <v>0</v>
      </c>
      <c r="I103" s="361"/>
      <c r="J103" s="361"/>
      <c r="K103" s="358"/>
    </row>
    <row r="104" spans="1:11" s="359" customFormat="1">
      <c r="A104" s="364" t="s">
        <v>780</v>
      </c>
      <c r="B104" s="360">
        <f>'Sources and Uses Budget'!C104</f>
        <v>7466845</v>
      </c>
      <c r="C104" s="360">
        <f>SUM(C99:C103)</f>
        <v>0</v>
      </c>
      <c r="D104" s="360">
        <f>SUM(D99:D103)</f>
        <v>0</v>
      </c>
      <c r="E104" s="360">
        <f>'Sources and Uses Budget'!S104</f>
        <v>7466845</v>
      </c>
      <c r="F104" s="366">
        <f>SUM(F99:F103)</f>
        <v>0</v>
      </c>
      <c r="G104" s="366">
        <f>SUM(G99:G103)</f>
        <v>0</v>
      </c>
      <c r="H104" s="360">
        <f>'Sources and Uses Budget'!T104</f>
        <v>0</v>
      </c>
      <c r="I104" s="366">
        <f>SUM(I99:I103)</f>
        <v>0</v>
      </c>
      <c r="J104" s="366">
        <f>SUM(J99:J103)</f>
        <v>0</v>
      </c>
      <c r="K104" s="358"/>
    </row>
    <row r="105" spans="1:11" s="359" customFormat="1">
      <c r="A105" s="364" t="s">
        <v>1031</v>
      </c>
      <c r="B105" s="360">
        <f>'Sources and Uses Budget'!C105</f>
        <v>84363214</v>
      </c>
      <c r="C105" s="366">
        <f>SUM(C97+C104)</f>
        <v>0</v>
      </c>
      <c r="D105" s="366">
        <f>SUM(D97+D104)</f>
        <v>0</v>
      </c>
      <c r="E105" s="360">
        <f>'Sources and Uses Budget'!S105</f>
        <v>79517552</v>
      </c>
      <c r="F105" s="366">
        <f>F97+F104</f>
        <v>0</v>
      </c>
      <c r="G105" s="366">
        <f>G97+G104</f>
        <v>0</v>
      </c>
      <c r="H105" s="360">
        <f>'Sources and Uses Budget'!T105</f>
        <v>0</v>
      </c>
      <c r="I105" s="366">
        <f>I97+I104</f>
        <v>0</v>
      </c>
      <c r="J105" s="366">
        <f>J97+J104</f>
        <v>0</v>
      </c>
      <c r="K105" s="358"/>
    </row>
    <row r="106" spans="1:11" s="359" customFormat="1">
      <c r="A106" s="370"/>
      <c r="B106" s="371"/>
      <c r="C106" s="371"/>
      <c r="D106" s="371"/>
      <c r="E106" s="360">
        <f>'Sources and Uses Budget'!S106</f>
        <v>0</v>
      </c>
      <c r="F106" s="361"/>
      <c r="G106" s="361"/>
      <c r="H106" s="360">
        <f>'Sources and Uses Budget'!T106</f>
        <v>0</v>
      </c>
      <c r="I106" s="361"/>
      <c r="J106" s="361"/>
      <c r="K106" s="358"/>
    </row>
    <row r="107" spans="1:11" s="359" customFormat="1">
      <c r="A107" s="372"/>
      <c r="B107" s="373"/>
      <c r="C107" s="371"/>
      <c r="D107" s="453" t="s">
        <v>375</v>
      </c>
      <c r="E107" s="360">
        <f>'Sources and Uses Budget'!S107</f>
        <v>79517552</v>
      </c>
      <c r="F107" s="366">
        <f>F105+F106</f>
        <v>0</v>
      </c>
      <c r="G107" s="366">
        <f>G105+G106</f>
        <v>0</v>
      </c>
      <c r="H107" s="360">
        <f>'Sources and Uses Budget'!T107</f>
        <v>0</v>
      </c>
      <c r="I107" s="366">
        <f>I105+I106</f>
        <v>0</v>
      </c>
      <c r="J107" s="366">
        <f>J105+J106</f>
        <v>0</v>
      </c>
      <c r="K107" s="358"/>
    </row>
    <row r="108" spans="1:11" s="359" customFormat="1">
      <c r="A108" s="372"/>
      <c r="B108" s="374"/>
      <c r="C108" s="374"/>
      <c r="D108" s="374"/>
      <c r="J108" s="375"/>
      <c r="K108" s="358"/>
    </row>
    <row r="109" spans="1:11" s="359" customFormat="1">
      <c r="A109" s="372"/>
      <c r="B109" s="374"/>
      <c r="C109" s="374"/>
      <c r="D109" s="374"/>
      <c r="J109" s="375"/>
      <c r="K109" s="358"/>
    </row>
    <row r="110" spans="1:11" s="359" customFormat="1">
      <c r="A110" s="372"/>
      <c r="B110" s="374"/>
      <c r="C110" s="374"/>
      <c r="D110" s="374"/>
      <c r="J110" s="375"/>
      <c r="K110" s="358"/>
    </row>
    <row r="111" spans="1:11" s="359" customFormat="1" ht="12.75">
      <c r="A111" s="376"/>
      <c r="B111" s="374"/>
      <c r="C111" s="374"/>
      <c r="D111" s="374"/>
      <c r="J111" s="375"/>
      <c r="K111" s="358"/>
    </row>
    <row r="112" spans="1:11" s="359" customFormat="1" ht="12.75">
      <c r="A112" s="376"/>
      <c r="B112" s="374"/>
      <c r="C112" s="374"/>
      <c r="D112" s="374"/>
      <c r="J112" s="375"/>
      <c r="K112" s="358"/>
    </row>
    <row r="113" spans="1:11" s="359" customFormat="1" ht="14.25">
      <c r="A113" s="377"/>
      <c r="B113" s="374"/>
      <c r="C113" s="374"/>
      <c r="D113" s="374"/>
      <c r="J113" s="375"/>
      <c r="K113" s="358"/>
    </row>
    <row r="114" spans="1:11" s="359" customFormat="1" ht="12.75">
      <c r="A114" s="376"/>
      <c r="J114" s="375"/>
      <c r="K114" s="358"/>
    </row>
    <row r="115" spans="1:11" s="359" customFormat="1" ht="14.25">
      <c r="A115" s="377"/>
      <c r="J115" s="375"/>
      <c r="K115" s="358"/>
    </row>
    <row r="116" spans="1:11" s="359" customFormat="1" ht="14.25">
      <c r="A116" s="377"/>
      <c r="J116" s="375"/>
      <c r="K116" s="358"/>
    </row>
    <row r="117" spans="1:11" s="359" customFormat="1">
      <c r="B117" s="374"/>
      <c r="C117" s="374"/>
      <c r="D117" s="374"/>
      <c r="J117" s="375"/>
      <c r="K117" s="358"/>
    </row>
    <row r="118" spans="1:11" s="359" customFormat="1">
      <c r="J118" s="375"/>
      <c r="K118" s="358"/>
    </row>
    <row r="119" spans="1:11" s="359" customFormat="1">
      <c r="J119" s="375"/>
      <c r="K119" s="358"/>
    </row>
    <row r="120" spans="1:11" s="359" customFormat="1">
      <c r="J120" s="375"/>
      <c r="K120" s="358"/>
    </row>
    <row r="121" spans="1:11" s="359" customFormat="1" ht="14.25">
      <c r="A121" s="377"/>
      <c r="J121" s="375"/>
      <c r="K121" s="358"/>
    </row>
    <row r="122" spans="1:11" s="379" customFormat="1" ht="15.75">
      <c r="A122" s="378"/>
      <c r="J122" s="380"/>
      <c r="K122" s="381"/>
    </row>
    <row r="123" spans="1:11" s="359" customFormat="1">
      <c r="A123" s="382"/>
      <c r="J123" s="375"/>
      <c r="K123" s="358"/>
    </row>
    <row r="124" spans="1:11" s="359" customFormat="1">
      <c r="B124" s="383"/>
      <c r="D124" s="1884"/>
      <c r="E124" s="1318"/>
      <c r="F124" s="1318"/>
      <c r="G124" s="1318"/>
      <c r="H124" s="1318"/>
      <c r="I124" s="1318"/>
      <c r="J124" s="375"/>
      <c r="K124" s="358"/>
    </row>
    <row r="125" spans="1:11" s="359" customFormat="1" ht="12.75">
      <c r="A125" s="384"/>
      <c r="B125" s="383"/>
      <c r="C125" s="384"/>
      <c r="D125" s="1318"/>
      <c r="E125" s="1318"/>
      <c r="F125" s="1318"/>
      <c r="G125" s="1318"/>
      <c r="H125" s="1318"/>
      <c r="I125" s="1318"/>
      <c r="J125" s="375"/>
      <c r="K125" s="358"/>
    </row>
    <row r="126" spans="1:11" s="359" customFormat="1" ht="12.75">
      <c r="A126" s="384"/>
      <c r="B126" s="383"/>
      <c r="C126" s="384"/>
      <c r="D126" s="1318"/>
      <c r="E126" s="1318"/>
      <c r="F126" s="1318"/>
      <c r="G126" s="1318"/>
      <c r="H126" s="1318"/>
      <c r="I126" s="1318"/>
      <c r="J126" s="375"/>
      <c r="K126" s="358"/>
    </row>
    <row r="127" spans="1:11" s="359" customFormat="1" ht="12.75">
      <c r="A127" s="384"/>
      <c r="B127" s="383"/>
      <c r="C127" s="384"/>
      <c r="D127" s="385"/>
      <c r="E127" s="384"/>
      <c r="F127" s="384"/>
      <c r="G127" s="384"/>
      <c r="J127" s="375"/>
      <c r="K127" s="358"/>
    </row>
    <row r="128" spans="1:11" s="359" customFormat="1" ht="12.75">
      <c r="A128" s="384"/>
      <c r="B128" s="383"/>
      <c r="C128" s="384"/>
      <c r="D128" s="385"/>
      <c r="E128" s="384"/>
      <c r="F128" s="384"/>
      <c r="G128" s="384"/>
      <c r="J128" s="375"/>
      <c r="K128" s="358"/>
    </row>
    <row r="129" spans="1:11" s="359" customFormat="1" ht="12.75">
      <c r="A129" s="384"/>
      <c r="B129" s="383"/>
      <c r="C129" s="384"/>
      <c r="D129" s="384"/>
      <c r="E129" s="384"/>
      <c r="F129" s="384"/>
      <c r="G129" s="384"/>
      <c r="J129" s="375"/>
      <c r="K129" s="358"/>
    </row>
    <row r="130" spans="1:11" s="359" customFormat="1" ht="12.75">
      <c r="A130" s="384"/>
      <c r="B130" s="383"/>
      <c r="C130" s="384"/>
      <c r="D130" s="384"/>
      <c r="E130" s="384"/>
      <c r="F130" s="384"/>
      <c r="G130" s="384"/>
      <c r="J130" s="375"/>
      <c r="K130" s="358"/>
    </row>
    <row r="131" spans="1:11" s="359" customFormat="1" ht="12.75">
      <c r="A131" s="384"/>
      <c r="B131" s="386"/>
      <c r="C131" s="384"/>
      <c r="D131" s="384"/>
      <c r="E131" s="384"/>
      <c r="F131" s="384"/>
      <c r="G131" s="384"/>
      <c r="J131" s="375"/>
      <c r="K131" s="358"/>
    </row>
    <row r="132" spans="1:11" s="359" customFormat="1" ht="12.75">
      <c r="A132" s="387"/>
      <c r="B132" s="388"/>
      <c r="C132" s="384"/>
      <c r="D132" s="389"/>
      <c r="E132" s="384"/>
      <c r="F132" s="384"/>
      <c r="G132" s="384"/>
      <c r="J132" s="375"/>
      <c r="K132" s="358"/>
    </row>
    <row r="133" spans="1:11" s="359" customFormat="1" ht="12.75">
      <c r="A133" s="390"/>
      <c r="B133" s="384"/>
      <c r="C133" s="384"/>
      <c r="D133" s="384"/>
      <c r="E133" s="384"/>
      <c r="F133" s="384"/>
      <c r="G133" s="384"/>
      <c r="J133" s="375"/>
      <c r="K133" s="358"/>
    </row>
    <row r="134" spans="1:11" s="359" customFormat="1" ht="12.75">
      <c r="A134" s="390"/>
      <c r="B134" s="384"/>
      <c r="C134" s="384"/>
      <c r="D134" s="384"/>
      <c r="E134" s="384"/>
      <c r="F134" s="384"/>
      <c r="G134" s="384"/>
      <c r="J134" s="375"/>
      <c r="K134" s="358"/>
    </row>
    <row r="135" spans="1:11" s="359" customFormat="1" ht="12.75">
      <c r="A135" s="391"/>
      <c r="B135" s="384"/>
      <c r="C135" s="384"/>
      <c r="D135" s="384"/>
      <c r="E135" s="384"/>
      <c r="F135" s="384"/>
      <c r="G135" s="384"/>
      <c r="J135" s="375"/>
      <c r="K135" s="358"/>
    </row>
    <row r="136" spans="1:11" s="359" customFormat="1" ht="12.75">
      <c r="A136" s="376"/>
      <c r="B136" s="384"/>
      <c r="C136" s="384"/>
      <c r="D136" s="384"/>
      <c r="E136" s="384"/>
      <c r="F136" s="384"/>
      <c r="G136" s="384"/>
      <c r="J136" s="375"/>
      <c r="K136" s="358"/>
    </row>
    <row r="137" spans="1:11" ht="12.75">
      <c r="A137" s="390"/>
      <c r="B137" s="384"/>
      <c r="C137" s="384"/>
      <c r="D137" s="384"/>
      <c r="E137" s="384"/>
      <c r="F137" s="384"/>
      <c r="G137" s="384"/>
    </row>
    <row r="138" spans="1:11" ht="12" customHeight="1">
      <c r="A138" s="390"/>
      <c r="B138" s="384"/>
      <c r="C138" s="384"/>
      <c r="D138" s="384"/>
      <c r="E138" s="384"/>
      <c r="F138" s="384"/>
      <c r="G138" s="384"/>
    </row>
    <row r="139" spans="1:11" ht="12" customHeight="1">
      <c r="A139" s="1885"/>
      <c r="B139" s="1318"/>
      <c r="C139" s="1318"/>
      <c r="D139" s="355"/>
      <c r="E139" s="384"/>
      <c r="F139" s="384"/>
      <c r="G139" s="384"/>
    </row>
    <row r="140" spans="1:11" ht="12" customHeight="1">
      <c r="A140" s="1305"/>
      <c r="B140" s="1305"/>
      <c r="C140" s="1305"/>
      <c r="D140" s="355"/>
      <c r="E140" s="384"/>
      <c r="F140" s="384"/>
      <c r="G140" s="384"/>
    </row>
    <row r="141" spans="1:11" ht="12" customHeight="1">
      <c r="A141" s="390"/>
      <c r="B141" s="384"/>
      <c r="C141" s="384"/>
      <c r="D141" s="355"/>
      <c r="E141" s="384"/>
      <c r="F141" s="384"/>
      <c r="G141" s="384"/>
      <c r="H141" s="393"/>
      <c r="I141" s="393"/>
    </row>
    <row r="142" spans="1:11" ht="12" customHeight="1">
      <c r="A142" s="395"/>
      <c r="B142" s="355"/>
      <c r="C142" s="355"/>
      <c r="D142" s="355"/>
      <c r="E142" s="384"/>
      <c r="F142" s="384"/>
      <c r="G142" s="384"/>
      <c r="H142" s="393"/>
      <c r="I142" s="393"/>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6"/>
    <col min="9" max="9" width="7.7109375" style="1186" customWidth="1"/>
    <col min="10" max="13" width="2.7109375" style="1186"/>
    <col min="14" max="14" width="4.7109375" style="1186" customWidth="1"/>
    <col min="15" max="19" width="2.7109375" style="1186"/>
    <col min="20" max="20" width="3.7109375" style="1186" customWidth="1"/>
    <col min="21" max="37" width="2.7109375" style="1186"/>
    <col min="38" max="38" width="3" style="1186" customWidth="1"/>
    <col min="39" max="45" width="2.7109375" style="1186"/>
    <col min="46" max="46" width="4.7109375" style="1186" customWidth="1"/>
    <col min="47" max="64" width="2.7109375" style="1186"/>
    <col min="65" max="65" width="10.42578125" style="1186" hidden="1" customWidth="1"/>
    <col min="66" max="66" width="5.42578125" style="1255" bestFit="1" customWidth="1"/>
    <col min="67" max="68" width="5.42578125" style="1255" customWidth="1"/>
    <col min="69" max="69" width="8" style="1255" customWidth="1"/>
    <col min="70" max="70" width="6" style="1255" customWidth="1"/>
    <col min="71" max="71" width="6.140625" style="1255" customWidth="1"/>
    <col min="72" max="76" width="5.42578125" style="1255" customWidth="1"/>
    <col min="77" max="77" width="6.140625" style="1255" bestFit="1" customWidth="1"/>
    <col min="78" max="78" width="5.42578125" style="1186" bestFit="1" customWidth="1"/>
    <col min="79" max="16384" width="2.7109375" style="1186"/>
  </cols>
  <sheetData>
    <row r="1" spans="1:65" ht="15.75" customHeight="1">
      <c r="A1" s="2334" t="s">
        <v>2459</v>
      </c>
      <c r="B1" s="2335"/>
      <c r="C1" s="2335"/>
      <c r="D1" s="2335"/>
      <c r="E1" s="2335"/>
      <c r="F1" s="2335"/>
      <c r="G1" s="2335"/>
      <c r="H1" s="2335"/>
      <c r="I1" s="2335"/>
      <c r="J1" s="2335"/>
      <c r="K1" s="2335"/>
      <c r="L1" s="2335"/>
      <c r="M1" s="2335"/>
      <c r="N1" s="2335"/>
      <c r="O1" s="2335"/>
      <c r="P1" s="2335"/>
      <c r="Q1" s="2335"/>
      <c r="R1" s="2335"/>
      <c r="S1" s="2335"/>
      <c r="T1" s="2335"/>
      <c r="U1" s="2335"/>
      <c r="V1" s="2335"/>
      <c r="W1" s="2335"/>
      <c r="X1" s="2335"/>
      <c r="Y1" s="2335"/>
      <c r="Z1" s="2335"/>
      <c r="AA1" s="2335"/>
      <c r="AB1" s="2335"/>
      <c r="AC1" s="2335"/>
      <c r="AD1" s="2335"/>
      <c r="AE1" s="2335"/>
      <c r="AF1" s="2335"/>
      <c r="AG1" s="2335"/>
      <c r="AH1" s="2335"/>
      <c r="AI1" s="2335"/>
      <c r="AJ1" s="2335"/>
      <c r="AK1" s="2335"/>
      <c r="AL1" s="2335"/>
      <c r="AM1" s="2335"/>
      <c r="AN1" s="2335"/>
      <c r="AO1" s="2335"/>
      <c r="AP1" s="2335"/>
      <c r="AQ1" s="2335"/>
      <c r="AR1" s="2335"/>
      <c r="AS1" s="2335"/>
      <c r="AT1" s="2335"/>
      <c r="AU1" s="2335"/>
      <c r="AV1" s="2335"/>
      <c r="AW1" s="2335"/>
      <c r="AX1" s="2335"/>
      <c r="AY1" s="2335"/>
      <c r="AZ1" s="2335"/>
      <c r="BA1" s="2335"/>
      <c r="BB1" s="2335"/>
      <c r="BC1" s="2335"/>
      <c r="BD1" s="2335"/>
      <c r="BE1" s="2336"/>
    </row>
    <row r="2" spans="1:65" ht="15.75" customHeight="1">
      <c r="A2" s="2337" t="s">
        <v>2458</v>
      </c>
      <c r="B2" s="2338"/>
      <c r="C2" s="2338"/>
      <c r="D2" s="2338"/>
      <c r="E2" s="2338"/>
      <c r="F2" s="2338"/>
      <c r="G2" s="2338"/>
      <c r="H2" s="2338"/>
      <c r="I2" s="2338"/>
      <c r="J2" s="2338"/>
      <c r="K2" s="2338"/>
      <c r="L2" s="2338"/>
      <c r="M2" s="2338"/>
      <c r="N2" s="2338"/>
      <c r="O2" s="2338"/>
      <c r="P2" s="2338"/>
      <c r="Q2" s="2338"/>
      <c r="R2" s="2338"/>
      <c r="S2" s="2338"/>
      <c r="T2" s="2338"/>
      <c r="U2" s="2338"/>
      <c r="V2" s="2338"/>
      <c r="W2" s="2338"/>
      <c r="X2" s="2338"/>
      <c r="Y2" s="2338"/>
      <c r="Z2" s="2338"/>
      <c r="AA2" s="2338"/>
      <c r="AB2" s="2338"/>
      <c r="AC2" s="2338"/>
      <c r="AD2" s="2338"/>
      <c r="AE2" s="2338"/>
      <c r="AF2" s="2338"/>
      <c r="AG2" s="2338"/>
      <c r="AH2" s="2338"/>
      <c r="AI2" s="2338"/>
      <c r="AJ2" s="2338"/>
      <c r="AK2" s="2338"/>
      <c r="AL2" s="2338"/>
      <c r="AM2" s="2338"/>
      <c r="AN2" s="2338"/>
      <c r="AO2" s="2338"/>
      <c r="AP2" s="2338"/>
      <c r="AQ2" s="2338"/>
      <c r="AR2" s="2338"/>
      <c r="AS2" s="2338"/>
      <c r="AT2" s="2338"/>
      <c r="AU2" s="2338"/>
      <c r="AV2" s="2338"/>
      <c r="AW2" s="2338"/>
      <c r="AX2" s="2338"/>
      <c r="AY2" s="2338"/>
      <c r="AZ2" s="2338"/>
      <c r="BA2" s="2338"/>
      <c r="BB2" s="2338"/>
      <c r="BC2" s="2338"/>
      <c r="BD2" s="2338"/>
      <c r="BE2" s="2339"/>
      <c r="BF2" s="1187"/>
    </row>
    <row r="3" spans="1:65" ht="15.75" customHeight="1" thickBot="1">
      <c r="A3" s="1188"/>
      <c r="B3" s="1189"/>
      <c r="C3" s="1189"/>
      <c r="D3" s="1189"/>
      <c r="E3" s="1189"/>
      <c r="F3" s="1189"/>
      <c r="G3" s="1189"/>
      <c r="H3" s="1189"/>
      <c r="I3" s="1189"/>
      <c r="J3" s="1189"/>
      <c r="K3" s="1189"/>
      <c r="L3" s="1189"/>
      <c r="M3" s="1189"/>
      <c r="N3" s="1189"/>
      <c r="O3" s="1189"/>
      <c r="P3" s="1189"/>
      <c r="Q3" s="1189"/>
      <c r="R3" s="1189"/>
      <c r="S3" s="1189"/>
      <c r="T3" s="1189"/>
      <c r="U3" s="1189"/>
      <c r="V3" s="1189"/>
      <c r="W3" s="1189"/>
      <c r="X3" s="1189"/>
      <c r="Y3" s="1189"/>
      <c r="Z3" s="1189"/>
      <c r="AA3" s="1189"/>
      <c r="AB3" s="1189"/>
      <c r="AC3" s="1189"/>
      <c r="AD3" s="1189"/>
      <c r="AE3" s="1189"/>
      <c r="AF3" s="1189"/>
      <c r="AG3" s="1189"/>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90"/>
    </row>
    <row r="4" spans="1:65" ht="15.75" customHeight="1" thickBot="1">
      <c r="A4" s="1188"/>
      <c r="B4" s="1191" t="s">
        <v>657</v>
      </c>
      <c r="C4" s="1191"/>
      <c r="D4" s="1191"/>
      <c r="E4" s="1191"/>
      <c r="F4" s="1191"/>
      <c r="G4" s="1189"/>
      <c r="H4" s="1189"/>
      <c r="I4" s="1189"/>
      <c r="J4" s="1189"/>
      <c r="K4" s="1189"/>
      <c r="L4" s="2326" t="str">
        <f>IF(Application!H18="","",Application!H18)</f>
        <v>Century + Restorative Care Village Phase II</v>
      </c>
      <c r="M4" s="2327"/>
      <c r="N4" s="2327"/>
      <c r="O4" s="2327"/>
      <c r="P4" s="2327"/>
      <c r="Q4" s="2327"/>
      <c r="R4" s="2327"/>
      <c r="S4" s="2327"/>
      <c r="T4" s="2327"/>
      <c r="U4" s="2327"/>
      <c r="V4" s="2327"/>
      <c r="W4" s="2327"/>
      <c r="X4" s="2327"/>
      <c r="Y4" s="2327"/>
      <c r="Z4" s="2327"/>
      <c r="AA4" s="2327"/>
      <c r="AB4" s="2327"/>
      <c r="AC4" s="2328"/>
      <c r="AD4" s="1189"/>
      <c r="AE4" s="1189"/>
      <c r="AF4" s="2322" t="s">
        <v>2457</v>
      </c>
      <c r="AG4" s="2322"/>
      <c r="AH4" s="2322"/>
      <c r="AI4" s="2322"/>
      <c r="AJ4" s="2322"/>
      <c r="AK4" s="2322"/>
      <c r="AL4" s="2322"/>
      <c r="AM4" s="2322"/>
      <c r="AN4" s="2322"/>
      <c r="AO4" s="2322"/>
      <c r="AP4" s="2323"/>
      <c r="AQ4" s="2324"/>
      <c r="AR4" s="2324"/>
      <c r="AS4" s="2324"/>
      <c r="AT4" s="2324"/>
      <c r="AU4" s="2324"/>
      <c r="AV4" s="1189"/>
      <c r="AW4" s="1189"/>
      <c r="AX4" s="1189"/>
      <c r="AY4" s="1189"/>
      <c r="AZ4" s="1189"/>
      <c r="BA4" s="1189"/>
      <c r="BB4" s="1189"/>
      <c r="BC4" s="1189"/>
      <c r="BD4" s="1189"/>
      <c r="BE4" s="1190"/>
    </row>
    <row r="5" spans="1:65" ht="15.75" customHeight="1" thickBot="1">
      <c r="A5" s="1188"/>
      <c r="B5" s="1189"/>
      <c r="C5" s="1189"/>
      <c r="D5" s="1189"/>
      <c r="E5" s="1189"/>
      <c r="F5" s="1189"/>
      <c r="G5" s="1189"/>
      <c r="H5" s="1189"/>
      <c r="I5" s="1189"/>
      <c r="J5" s="1189"/>
      <c r="K5" s="1189"/>
      <c r="L5" s="1189"/>
      <c r="M5" s="1189"/>
      <c r="N5" s="1189"/>
      <c r="O5" s="1189"/>
      <c r="P5" s="1189"/>
      <c r="Q5" s="1189"/>
      <c r="R5" s="1189"/>
      <c r="S5" s="1189"/>
      <c r="T5" s="1189"/>
      <c r="U5" s="1189"/>
      <c r="V5" s="1189"/>
      <c r="W5" s="1189"/>
      <c r="X5" s="1189"/>
      <c r="Y5" s="1189"/>
      <c r="Z5" s="1189"/>
      <c r="AA5" s="1189"/>
      <c r="AB5" s="1189"/>
      <c r="AC5" s="1189"/>
      <c r="AD5" s="1189"/>
      <c r="AE5" s="1189"/>
      <c r="AF5" s="2322" t="s">
        <v>2456</v>
      </c>
      <c r="AG5" s="2322"/>
      <c r="AH5" s="2322"/>
      <c r="AI5" s="2322"/>
      <c r="AJ5" s="2322"/>
      <c r="AK5" s="2322"/>
      <c r="AL5" s="2322"/>
      <c r="AM5" s="2322"/>
      <c r="AN5" s="2322"/>
      <c r="AO5" s="2322"/>
      <c r="AP5" s="2323"/>
      <c r="AQ5" s="2324"/>
      <c r="AR5" s="2324"/>
      <c r="AS5" s="2324"/>
      <c r="AT5" s="2324"/>
      <c r="AU5" s="2324"/>
      <c r="AV5" s="1189"/>
      <c r="AW5" s="1189"/>
      <c r="AX5" s="1189"/>
      <c r="AY5" s="1189"/>
      <c r="AZ5" s="1189"/>
      <c r="BA5" s="1189"/>
      <c r="BB5" s="1189"/>
      <c r="BC5" s="1189"/>
      <c r="BD5" s="1189"/>
      <c r="BE5" s="1190"/>
    </row>
    <row r="6" spans="1:65" ht="15.75" customHeight="1" thickBot="1">
      <c r="A6" s="1188"/>
      <c r="B6" s="1191" t="s">
        <v>2455</v>
      </c>
      <c r="C6" s="1189"/>
      <c r="D6" s="1189"/>
      <c r="E6" s="1189"/>
      <c r="F6" s="1189"/>
      <c r="G6" s="1189"/>
      <c r="H6" s="1189"/>
      <c r="I6" s="1189"/>
      <c r="J6" s="1189"/>
      <c r="K6" s="1189"/>
      <c r="L6" s="2326" t="str">
        <f>IF(Application!H16="","",Application!H16)</f>
        <v xml:space="preserve">Century Affordable Development, Inc. </v>
      </c>
      <c r="M6" s="2327"/>
      <c r="N6" s="2327"/>
      <c r="O6" s="2327"/>
      <c r="P6" s="2327"/>
      <c r="Q6" s="2327"/>
      <c r="R6" s="2327"/>
      <c r="S6" s="2327"/>
      <c r="T6" s="2327"/>
      <c r="U6" s="2327"/>
      <c r="V6" s="2327"/>
      <c r="W6" s="2327"/>
      <c r="X6" s="2327"/>
      <c r="Y6" s="2327"/>
      <c r="Z6" s="2327"/>
      <c r="AA6" s="2327"/>
      <c r="AB6" s="2327"/>
      <c r="AC6" s="2328"/>
      <c r="AD6" s="1189"/>
      <c r="AE6" s="1189"/>
      <c r="AF6" s="2329" t="s">
        <v>2454</v>
      </c>
      <c r="AG6" s="2329"/>
      <c r="AH6" s="2329"/>
      <c r="AI6" s="2329"/>
      <c r="AJ6" s="2329"/>
      <c r="AK6" s="2329"/>
      <c r="AL6" s="2329"/>
      <c r="AM6" s="2329"/>
      <c r="AN6" s="2329"/>
      <c r="AO6" s="2329"/>
      <c r="AP6" s="2330"/>
      <c r="AQ6" s="2330"/>
      <c r="AR6" s="2330"/>
      <c r="AS6" s="2330"/>
      <c r="AT6" s="2330"/>
      <c r="AU6" s="2330"/>
      <c r="AV6" s="1189"/>
      <c r="AW6" s="1189"/>
      <c r="AX6" s="1189"/>
      <c r="AY6" s="1189"/>
      <c r="AZ6" s="1189"/>
      <c r="BA6" s="1189"/>
      <c r="BB6" s="1189"/>
      <c r="BC6" s="1189"/>
      <c r="BD6" s="1189"/>
      <c r="BE6" s="1190"/>
    </row>
    <row r="7" spans="1:65" thickBot="1">
      <c r="A7" s="1188"/>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c r="AD7" s="1189"/>
      <c r="AE7" s="1189"/>
      <c r="AF7" s="2329" t="s">
        <v>2453</v>
      </c>
      <c r="AG7" s="2329"/>
      <c r="AH7" s="2329"/>
      <c r="AI7" s="2329"/>
      <c r="AJ7" s="2329"/>
      <c r="AK7" s="2329"/>
      <c r="AL7" s="2329"/>
      <c r="AM7" s="2329"/>
      <c r="AN7" s="2329"/>
      <c r="AO7" s="2329"/>
      <c r="AP7" s="2330"/>
      <c r="AQ7" s="2330"/>
      <c r="AR7" s="2330"/>
      <c r="AS7" s="2330"/>
      <c r="AT7" s="2330"/>
      <c r="AU7" s="2330"/>
      <c r="AV7" s="1189"/>
      <c r="AW7" s="1189"/>
      <c r="AX7" s="1189"/>
      <c r="AY7" s="1189"/>
      <c r="AZ7" s="1189"/>
      <c r="BA7" s="1189"/>
      <c r="BB7" s="1189"/>
      <c r="BC7" s="1189"/>
      <c r="BD7" s="1189"/>
      <c r="BE7" s="1190"/>
    </row>
    <row r="8" spans="1:65" thickBot="1">
      <c r="A8" s="1188"/>
      <c r="B8" s="1191" t="s">
        <v>2452</v>
      </c>
      <c r="C8" s="1189"/>
      <c r="D8" s="1189"/>
      <c r="E8" s="1189"/>
      <c r="F8" s="1189"/>
      <c r="G8" s="1189"/>
      <c r="H8" s="1189"/>
      <c r="I8" s="1189"/>
      <c r="J8" s="1189"/>
      <c r="K8" s="1189"/>
      <c r="L8" s="1189"/>
      <c r="M8" s="1189"/>
      <c r="N8" s="1189"/>
      <c r="O8" s="1189"/>
      <c r="P8" s="1189"/>
      <c r="Q8" s="1189"/>
      <c r="R8" s="1189"/>
      <c r="S8" s="1189"/>
      <c r="T8" s="1189"/>
      <c r="U8" s="1189"/>
      <c r="V8" s="1189"/>
      <c r="W8" s="1189"/>
      <c r="X8" s="1189"/>
      <c r="Y8" s="1189"/>
      <c r="Z8" s="1189"/>
      <c r="AA8" s="1189"/>
      <c r="AB8" s="2331" t="str">
        <f>Application!T197</f>
        <v>No</v>
      </c>
      <c r="AC8" s="2332"/>
      <c r="AD8" s="2333"/>
      <c r="AE8" s="1189"/>
      <c r="AF8" s="2329" t="s">
        <v>2451</v>
      </c>
      <c r="AG8" s="2329"/>
      <c r="AH8" s="2329"/>
      <c r="AI8" s="2329"/>
      <c r="AJ8" s="2329"/>
      <c r="AK8" s="2329"/>
      <c r="AL8" s="2329"/>
      <c r="AM8" s="2329"/>
      <c r="AN8" s="2329"/>
      <c r="AO8" s="2329"/>
      <c r="AP8" s="2330" t="s">
        <v>2100</v>
      </c>
      <c r="AQ8" s="2330"/>
      <c r="AR8" s="2330"/>
      <c r="AS8" s="2330"/>
      <c r="AT8" s="2330"/>
      <c r="AU8" s="2330"/>
      <c r="AV8" s="1189"/>
      <c r="AW8" s="1189"/>
      <c r="AX8" s="1189"/>
      <c r="AY8" s="1189"/>
      <c r="AZ8" s="1189"/>
      <c r="BA8" s="1189"/>
      <c r="BB8" s="1189"/>
      <c r="BC8" s="1189"/>
      <c r="BD8" s="1189"/>
      <c r="BE8" s="1190"/>
      <c r="BM8" s="1186" t="s">
        <v>1985</v>
      </c>
    </row>
    <row r="9" spans="1:65" ht="15">
      <c r="A9" s="1189"/>
      <c r="B9" s="1189"/>
      <c r="C9" s="1189"/>
      <c r="D9" s="1189"/>
      <c r="E9" s="1189"/>
      <c r="F9" s="1189"/>
      <c r="G9" s="1189"/>
      <c r="H9" s="1189"/>
      <c r="I9" s="1189"/>
      <c r="J9" s="1189"/>
      <c r="K9" s="1189"/>
      <c r="L9" s="1189"/>
      <c r="M9" s="1189"/>
      <c r="N9" s="1189"/>
      <c r="O9" s="1189"/>
      <c r="P9" s="1189"/>
      <c r="Q9" s="1189"/>
      <c r="R9" s="1189"/>
      <c r="S9" s="1189"/>
      <c r="T9" s="1189"/>
      <c r="U9" s="1189"/>
      <c r="V9" s="1189"/>
      <c r="W9" s="1189"/>
      <c r="X9" s="1189"/>
      <c r="Y9" s="1189"/>
      <c r="Z9" s="1189"/>
      <c r="AA9" s="1189"/>
      <c r="AB9" s="1189"/>
      <c r="AC9" s="1189"/>
      <c r="AD9" s="1189"/>
      <c r="AE9" s="1189"/>
      <c r="AF9" s="2322" t="s">
        <v>2450</v>
      </c>
      <c r="AG9" s="2322"/>
      <c r="AH9" s="2322"/>
      <c r="AI9" s="2322"/>
      <c r="AJ9" s="2322"/>
      <c r="AK9" s="2322"/>
      <c r="AL9" s="2322"/>
      <c r="AM9" s="2322"/>
      <c r="AN9" s="2322"/>
      <c r="AO9" s="2322"/>
      <c r="AP9" s="2323"/>
      <c r="AQ9" s="2324"/>
      <c r="AR9" s="2324"/>
      <c r="AS9" s="2324"/>
      <c r="AT9" s="2324"/>
      <c r="AU9" s="2324"/>
      <c r="AV9" s="1189"/>
      <c r="AW9" s="1189"/>
      <c r="AX9" s="1189"/>
      <c r="AY9" s="1189"/>
      <c r="AZ9" s="1189"/>
      <c r="BA9" s="1189"/>
      <c r="BB9" s="1189"/>
      <c r="BC9" s="1189"/>
      <c r="BD9" s="1189"/>
      <c r="BE9" s="1190"/>
      <c r="BM9" s="1186" t="s">
        <v>2449</v>
      </c>
    </row>
    <row r="10" spans="1:65" ht="15">
      <c r="A10" s="1188"/>
      <c r="B10" s="1191" t="s">
        <v>2448</v>
      </c>
      <c r="C10" s="1191"/>
      <c r="D10" s="1191"/>
      <c r="E10" s="1191"/>
      <c r="F10" s="1191"/>
      <c r="G10" s="1191"/>
      <c r="H10" s="1191"/>
      <c r="I10" s="1191"/>
      <c r="J10" s="1191"/>
      <c r="K10" s="1191"/>
      <c r="L10" s="1191"/>
      <c r="M10" s="1189"/>
      <c r="N10" s="2325">
        <f>Application!AO627</f>
        <v>13812000</v>
      </c>
      <c r="O10" s="2325"/>
      <c r="P10" s="2325"/>
      <c r="Q10" s="2325"/>
      <c r="R10" s="2325"/>
      <c r="S10" s="2325"/>
      <c r="T10" s="2325"/>
      <c r="U10" s="1189"/>
      <c r="V10" s="1189"/>
      <c r="W10" s="1189"/>
      <c r="X10" s="1192"/>
      <c r="Y10" s="1192"/>
      <c r="Z10" s="1192"/>
      <c r="AA10" s="1192"/>
      <c r="AB10" s="1192"/>
      <c r="AC10" s="1192"/>
      <c r="AD10" s="1192"/>
      <c r="AE10" s="1192"/>
      <c r="AF10" s="2322" t="s">
        <v>2447</v>
      </c>
      <c r="AG10" s="2322"/>
      <c r="AH10" s="2322"/>
      <c r="AI10" s="2322"/>
      <c r="AJ10" s="2322"/>
      <c r="AK10" s="2322"/>
      <c r="AL10" s="2322"/>
      <c r="AM10" s="2322"/>
      <c r="AN10" s="2322"/>
      <c r="AO10" s="2322"/>
      <c r="AP10" s="2323"/>
      <c r="AQ10" s="2324"/>
      <c r="AR10" s="2324"/>
      <c r="AS10" s="2324"/>
      <c r="AT10" s="2324"/>
      <c r="AU10" s="2324"/>
      <c r="AV10" s="1192"/>
      <c r="AW10" s="1192"/>
      <c r="AX10" s="1189"/>
      <c r="AY10" s="1189"/>
      <c r="AZ10" s="1189"/>
      <c r="BA10" s="1189"/>
      <c r="BB10" s="1189"/>
      <c r="BC10" s="1189"/>
      <c r="BD10" s="1189"/>
      <c r="BE10" s="1190"/>
      <c r="BM10" s="1186" t="s">
        <v>2446</v>
      </c>
    </row>
    <row r="11" spans="1:65" ht="15">
      <c r="A11" s="1188"/>
      <c r="B11" s="1191" t="s">
        <v>2445</v>
      </c>
      <c r="C11" s="1191"/>
      <c r="D11" s="1191"/>
      <c r="E11" s="1191"/>
      <c r="F11" s="1191"/>
      <c r="G11" s="1191"/>
      <c r="H11" s="1191"/>
      <c r="I11" s="1191"/>
      <c r="J11" s="1191"/>
      <c r="K11" s="1191"/>
      <c r="L11" s="1191"/>
      <c r="M11" s="1189"/>
      <c r="N11" s="2325">
        <f>Application!AA934</f>
        <v>0</v>
      </c>
      <c r="O11" s="2325"/>
      <c r="P11" s="2325"/>
      <c r="Q11" s="2325"/>
      <c r="R11" s="2325"/>
      <c r="S11" s="2325"/>
      <c r="T11" s="2325"/>
      <c r="U11" s="1189"/>
      <c r="V11" s="1189"/>
      <c r="W11" s="1189"/>
      <c r="X11" s="1192"/>
      <c r="Y11" s="1192"/>
      <c r="Z11" s="1192"/>
      <c r="AA11" s="1192"/>
      <c r="AB11" s="1192"/>
      <c r="AC11" s="1192"/>
      <c r="AD11" s="1192"/>
      <c r="AE11" s="1192"/>
      <c r="AF11" s="2322" t="s">
        <v>2444</v>
      </c>
      <c r="AG11" s="2322"/>
      <c r="AH11" s="2322"/>
      <c r="AI11" s="2322"/>
      <c r="AJ11" s="2322"/>
      <c r="AK11" s="2322"/>
      <c r="AL11" s="2322"/>
      <c r="AM11" s="2322"/>
      <c r="AN11" s="2322"/>
      <c r="AO11" s="2322"/>
      <c r="AP11" s="2323"/>
      <c r="AQ11" s="2324"/>
      <c r="AR11" s="2324"/>
      <c r="AS11" s="2324"/>
      <c r="AT11" s="2324"/>
      <c r="AU11" s="2324"/>
      <c r="AV11" s="1192"/>
      <c r="AW11" s="1192"/>
      <c r="AX11" s="1189"/>
      <c r="AY11" s="1189"/>
      <c r="AZ11" s="1189"/>
      <c r="BA11" s="1189"/>
      <c r="BB11" s="1189"/>
      <c r="BC11" s="1189"/>
      <c r="BD11" s="1189"/>
      <c r="BE11" s="1190"/>
      <c r="BM11" s="1186" t="s">
        <v>2100</v>
      </c>
    </row>
    <row r="12" spans="1:65" thickBot="1">
      <c r="A12" s="1189"/>
      <c r="B12" s="1189"/>
      <c r="C12" s="1189"/>
      <c r="D12" s="1189"/>
      <c r="E12" s="1189"/>
      <c r="F12" s="1189"/>
      <c r="G12" s="1189"/>
      <c r="H12" s="1189"/>
      <c r="I12" s="1189"/>
      <c r="J12" s="1189"/>
      <c r="K12" s="1189"/>
      <c r="L12" s="1189"/>
      <c r="M12" s="1189"/>
      <c r="N12" s="1189"/>
      <c r="O12" s="1189"/>
      <c r="P12" s="1189"/>
      <c r="Q12" s="1189"/>
      <c r="R12" s="1189"/>
      <c r="S12" s="1189"/>
      <c r="T12" s="1189"/>
      <c r="U12" s="1189"/>
      <c r="V12" s="1189"/>
      <c r="W12" s="1189"/>
      <c r="X12" s="1192"/>
      <c r="Y12" s="1192"/>
      <c r="Z12" s="1192"/>
      <c r="AA12" s="1192"/>
      <c r="AB12" s="1192"/>
      <c r="AC12" s="1192"/>
      <c r="AD12" s="1192"/>
      <c r="AE12" s="1192"/>
      <c r="AF12" s="1192"/>
      <c r="AG12" s="1192"/>
      <c r="AH12" s="1192"/>
      <c r="AI12" s="1192"/>
      <c r="AJ12" s="1192"/>
      <c r="AK12" s="1192"/>
      <c r="AL12" s="1192"/>
      <c r="AM12" s="1192"/>
      <c r="AN12" s="1192"/>
      <c r="AO12" s="1192"/>
      <c r="AP12" s="1192"/>
      <c r="AQ12" s="1192"/>
      <c r="AR12" s="1192"/>
      <c r="AS12" s="1192"/>
      <c r="AT12" s="1192"/>
      <c r="AU12" s="1192"/>
      <c r="AV12" s="1189"/>
      <c r="AW12" s="1189"/>
      <c r="AX12" s="1189"/>
      <c r="AY12" s="1189"/>
      <c r="AZ12" s="1189"/>
      <c r="BA12" s="1189"/>
      <c r="BB12" s="1189"/>
      <c r="BC12" s="1189"/>
      <c r="BD12" s="1189"/>
      <c r="BE12" s="1193"/>
      <c r="BM12" s="1186" t="s">
        <v>2443</v>
      </c>
    </row>
    <row r="13" spans="1:65" thickBot="1">
      <c r="A13" s="1189"/>
      <c r="B13" s="2313" t="s">
        <v>2442</v>
      </c>
      <c r="C13" s="2314"/>
      <c r="D13" s="2314"/>
      <c r="E13" s="2314"/>
      <c r="F13" s="2314"/>
      <c r="G13" s="2314"/>
      <c r="H13" s="2314"/>
      <c r="I13" s="2314"/>
      <c r="J13" s="2314"/>
      <c r="K13" s="2314"/>
      <c r="L13" s="2314"/>
      <c r="M13" s="2314"/>
      <c r="N13" s="2314"/>
      <c r="O13" s="2314"/>
      <c r="P13" s="2315"/>
      <c r="Q13" s="2316" t="s">
        <v>670</v>
      </c>
      <c r="R13" s="2317"/>
      <c r="S13" s="2317"/>
      <c r="T13" s="2318"/>
      <c r="U13" s="1192"/>
      <c r="V13" s="1189"/>
      <c r="W13" s="1189"/>
      <c r="X13" s="1189"/>
      <c r="Y13" s="1189"/>
      <c r="Z13" s="1189"/>
      <c r="AA13" s="2303" t="s">
        <v>2441</v>
      </c>
      <c r="AB13" s="2303"/>
      <c r="AC13" s="2303"/>
      <c r="AD13" s="2303"/>
      <c r="AE13" s="2303"/>
      <c r="AF13" s="2303"/>
      <c r="AG13" s="2303"/>
      <c r="AH13" s="2303"/>
      <c r="AI13" s="2303"/>
      <c r="AJ13" s="2303"/>
      <c r="AK13" s="2303"/>
      <c r="AL13" s="2303"/>
      <c r="AM13" s="2303"/>
      <c r="AN13" s="2303"/>
      <c r="AO13" s="2319">
        <f>Application!W473</f>
        <v>91</v>
      </c>
      <c r="AP13" s="2320"/>
      <c r="AQ13" s="2320"/>
      <c r="AR13" s="2320"/>
      <c r="AS13" s="2320"/>
      <c r="AT13" s="1192"/>
      <c r="AU13" s="1192"/>
      <c r="AV13" s="1192"/>
      <c r="AW13" s="1192"/>
      <c r="AX13" s="1192"/>
      <c r="AY13" s="1192"/>
      <c r="AZ13" s="1192"/>
      <c r="BA13" s="1192"/>
      <c r="BB13" s="1192"/>
      <c r="BC13" s="1192"/>
      <c r="BD13" s="1192"/>
      <c r="BE13" s="1193"/>
      <c r="BM13" s="1186" t="s">
        <v>2440</v>
      </c>
    </row>
    <row r="14" spans="1:65" thickBot="1">
      <c r="A14" s="1189"/>
      <c r="B14" s="1189"/>
      <c r="C14" s="1189"/>
      <c r="D14" s="1189"/>
      <c r="E14" s="1189"/>
      <c r="F14" s="1189"/>
      <c r="G14" s="1189"/>
      <c r="H14" s="1189"/>
      <c r="I14" s="1189"/>
      <c r="J14" s="1189"/>
      <c r="K14" s="1189"/>
      <c r="L14" s="1189"/>
      <c r="M14" s="1189"/>
      <c r="N14" s="1189"/>
      <c r="O14" s="1189"/>
      <c r="P14" s="1189"/>
      <c r="Q14" s="1189"/>
      <c r="R14" s="1189"/>
      <c r="S14" s="1189"/>
      <c r="T14" s="1189"/>
      <c r="U14" s="1189"/>
      <c r="V14" s="1189"/>
      <c r="W14" s="1189"/>
      <c r="X14" s="1189"/>
      <c r="Y14" s="1189"/>
      <c r="Z14" s="1189"/>
      <c r="AA14" s="2321" t="s">
        <v>2439</v>
      </c>
      <c r="AB14" s="2321"/>
      <c r="AC14" s="2321"/>
      <c r="AD14" s="2321"/>
      <c r="AE14" s="2321"/>
      <c r="AF14" s="2321"/>
      <c r="AG14" s="2321"/>
      <c r="AH14" s="2321"/>
      <c r="AI14" s="2321"/>
      <c r="AJ14" s="2321"/>
      <c r="AK14" s="2321"/>
      <c r="AL14" s="2321"/>
      <c r="AM14" s="2321"/>
      <c r="AN14" s="2321"/>
      <c r="AO14" s="2304"/>
      <c r="AP14" s="2305"/>
      <c r="AQ14" s="2305"/>
      <c r="AR14" s="2305"/>
      <c r="AS14" s="2305"/>
      <c r="AT14" s="1192"/>
      <c r="AU14" s="1192"/>
      <c r="AV14" s="1192"/>
      <c r="AW14" s="1192"/>
      <c r="AX14" s="1192"/>
      <c r="AY14" s="1192"/>
      <c r="AZ14" s="1192"/>
      <c r="BA14" s="1192"/>
      <c r="BB14" s="1192"/>
      <c r="BC14" s="1192"/>
      <c r="BD14" s="1192"/>
      <c r="BE14" s="1193"/>
    </row>
    <row r="15" spans="1:65" thickBot="1">
      <c r="A15" s="1189"/>
      <c r="B15" s="2298" t="s">
        <v>2438</v>
      </c>
      <c r="C15" s="2299"/>
      <c r="D15" s="2299"/>
      <c r="E15" s="2299"/>
      <c r="F15" s="2299"/>
      <c r="G15" s="2299"/>
      <c r="H15" s="2299"/>
      <c r="I15" s="2299"/>
      <c r="J15" s="2299"/>
      <c r="K15" s="2299"/>
      <c r="L15" s="2299"/>
      <c r="M15" s="2299"/>
      <c r="N15" s="2299"/>
      <c r="O15" s="2299"/>
      <c r="P15" s="2299"/>
      <c r="Q15" s="2299"/>
      <c r="R15" s="2300"/>
      <c r="S15" s="2301" t="str">
        <f>IF(Application!AB214="","",Application!AB214)</f>
        <v/>
      </c>
      <c r="T15" s="2301"/>
      <c r="U15" s="2301"/>
      <c r="V15" s="2301"/>
      <c r="W15" s="2302"/>
      <c r="X15" s="1192"/>
      <c r="Y15" s="1189"/>
      <c r="Z15" s="1189"/>
      <c r="AA15" s="2303" t="s">
        <v>2437</v>
      </c>
      <c r="AB15" s="2303"/>
      <c r="AC15" s="2303"/>
      <c r="AD15" s="2303"/>
      <c r="AE15" s="2303"/>
      <c r="AF15" s="2303"/>
      <c r="AG15" s="2303"/>
      <c r="AH15" s="2303"/>
      <c r="AI15" s="2303"/>
      <c r="AJ15" s="2303"/>
      <c r="AK15" s="2303"/>
      <c r="AL15" s="2303"/>
      <c r="AM15" s="2303"/>
      <c r="AN15" s="2303"/>
      <c r="AO15" s="2304"/>
      <c r="AP15" s="2305"/>
      <c r="AQ15" s="2305"/>
      <c r="AR15" s="2305"/>
      <c r="AS15" s="2305"/>
      <c r="AT15" s="1192"/>
      <c r="AU15" s="1192"/>
      <c r="AV15" s="1192"/>
      <c r="AW15" s="1192"/>
      <c r="AX15" s="1192"/>
      <c r="AY15" s="1192"/>
      <c r="AZ15" s="1192"/>
      <c r="BA15" s="1192"/>
      <c r="BB15" s="1192"/>
      <c r="BC15" s="1192"/>
      <c r="BD15" s="1192"/>
      <c r="BE15" s="1193"/>
    </row>
    <row r="16" spans="1:65" thickBot="1">
      <c r="A16" s="1188"/>
      <c r="B16" s="1189"/>
      <c r="C16" s="1189"/>
      <c r="D16" s="1189"/>
      <c r="E16" s="1189"/>
      <c r="F16" s="1189"/>
      <c r="G16" s="1189"/>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1189"/>
      <c r="AE16" s="1189"/>
      <c r="AF16" s="1189"/>
      <c r="AG16" s="1189"/>
      <c r="AH16" s="1189"/>
      <c r="AI16" s="1189"/>
      <c r="AJ16" s="1189"/>
      <c r="AK16" s="1189"/>
      <c r="AL16" s="1189"/>
      <c r="AM16" s="1189"/>
      <c r="AN16" s="1189"/>
      <c r="AO16" s="1189"/>
      <c r="AP16" s="1189"/>
      <c r="AQ16" s="1189"/>
      <c r="AR16" s="1189"/>
      <c r="AS16" s="1189"/>
      <c r="AT16" s="1189"/>
      <c r="AU16" s="1189"/>
      <c r="AV16" s="1189"/>
      <c r="AW16" s="1189"/>
      <c r="AX16" s="1189"/>
      <c r="AY16" s="1189"/>
      <c r="AZ16" s="1189"/>
      <c r="BA16" s="1189"/>
      <c r="BB16" s="1189"/>
      <c r="BC16" s="1189"/>
      <c r="BD16" s="1189"/>
      <c r="BE16" s="1193"/>
    </row>
    <row r="17" spans="1:58" ht="15">
      <c r="A17" s="1189"/>
      <c r="B17" s="2111" t="s">
        <v>2436</v>
      </c>
      <c r="C17" s="2112"/>
      <c r="D17" s="2112"/>
      <c r="E17" s="2112"/>
      <c r="F17" s="2112"/>
      <c r="G17" s="2112"/>
      <c r="H17" s="2112"/>
      <c r="I17" s="2112"/>
      <c r="J17" s="2112"/>
      <c r="K17" s="2112"/>
      <c r="L17" s="2112"/>
      <c r="M17" s="2112"/>
      <c r="N17" s="2112"/>
      <c r="O17" s="2112"/>
      <c r="P17" s="2112"/>
      <c r="Q17" s="2112"/>
      <c r="R17" s="2112"/>
      <c r="S17" s="2112"/>
      <c r="T17" s="2112"/>
      <c r="U17" s="2112"/>
      <c r="V17" s="2112"/>
      <c r="W17" s="2112"/>
      <c r="X17" s="2112"/>
      <c r="Y17" s="2112"/>
      <c r="Z17" s="2112"/>
      <c r="AA17" s="2112"/>
      <c r="AB17" s="2112"/>
      <c r="AC17" s="2112"/>
      <c r="AD17" s="2112"/>
      <c r="AE17" s="2112"/>
      <c r="AF17" s="2112"/>
      <c r="AG17" s="2112"/>
      <c r="AH17" s="2112"/>
      <c r="AI17" s="2112"/>
      <c r="AJ17" s="2112"/>
      <c r="AK17" s="2112"/>
      <c r="AL17" s="2112"/>
      <c r="AM17" s="2112"/>
      <c r="AN17" s="2112"/>
      <c r="AO17" s="2112"/>
      <c r="AP17" s="2112"/>
      <c r="AQ17" s="2112"/>
      <c r="AR17" s="2112"/>
      <c r="AS17" s="2112"/>
      <c r="AT17" s="2112"/>
      <c r="AU17" s="2112"/>
      <c r="AV17" s="2112"/>
      <c r="AW17" s="2112"/>
      <c r="AX17" s="2112"/>
      <c r="AY17" s="2113"/>
      <c r="AZ17" s="1189"/>
      <c r="BA17" s="1189"/>
      <c r="BB17" s="1189"/>
      <c r="BC17" s="1189"/>
      <c r="BD17" s="1189"/>
      <c r="BE17" s="1193"/>
      <c r="BF17" s="1187"/>
    </row>
    <row r="18" spans="1:58" ht="15.75" customHeight="1">
      <c r="A18" s="1189"/>
      <c r="B18" s="2306" t="s">
        <v>2435</v>
      </c>
      <c r="C18" s="2307"/>
      <c r="D18" s="2307"/>
      <c r="E18" s="2307"/>
      <c r="F18" s="2307"/>
      <c r="G18" s="2307"/>
      <c r="H18" s="2307"/>
      <c r="I18" s="2308"/>
      <c r="J18" s="2309" t="s">
        <v>1587</v>
      </c>
      <c r="K18" s="2310"/>
      <c r="L18" s="2310"/>
      <c r="M18" s="2310"/>
      <c r="N18" s="2310"/>
      <c r="O18" s="2311"/>
      <c r="P18" s="2309" t="s">
        <v>324</v>
      </c>
      <c r="Q18" s="2310"/>
      <c r="R18" s="2310"/>
      <c r="S18" s="2310"/>
      <c r="T18" s="2310"/>
      <c r="U18" s="2311"/>
      <c r="V18" s="2309" t="s">
        <v>325</v>
      </c>
      <c r="W18" s="2310"/>
      <c r="X18" s="2310"/>
      <c r="Y18" s="2310"/>
      <c r="Z18" s="2310"/>
      <c r="AA18" s="2311"/>
      <c r="AB18" s="2309" t="s">
        <v>163</v>
      </c>
      <c r="AC18" s="2310"/>
      <c r="AD18" s="2310"/>
      <c r="AE18" s="2310"/>
      <c r="AF18" s="2310"/>
      <c r="AG18" s="2311"/>
      <c r="AH18" s="2309" t="s">
        <v>164</v>
      </c>
      <c r="AI18" s="2310"/>
      <c r="AJ18" s="2310"/>
      <c r="AK18" s="2310"/>
      <c r="AL18" s="2310"/>
      <c r="AM18" s="2311"/>
      <c r="AN18" s="2309" t="s">
        <v>165</v>
      </c>
      <c r="AO18" s="2310"/>
      <c r="AP18" s="2310"/>
      <c r="AQ18" s="2310"/>
      <c r="AR18" s="2310"/>
      <c r="AS18" s="2311"/>
      <c r="AT18" s="2309" t="s">
        <v>2434</v>
      </c>
      <c r="AU18" s="2310"/>
      <c r="AV18" s="2310"/>
      <c r="AW18" s="2310"/>
      <c r="AX18" s="2310"/>
      <c r="AY18" s="2312"/>
      <c r="AZ18" s="1189"/>
      <c r="BA18" s="1189"/>
      <c r="BB18" s="1189"/>
      <c r="BC18" s="1189"/>
      <c r="BD18" s="1189"/>
      <c r="BE18" s="1193"/>
    </row>
    <row r="19" spans="1:58" ht="15">
      <c r="A19" s="1189"/>
      <c r="B19" s="2292">
        <v>0.3</v>
      </c>
      <c r="C19" s="2293"/>
      <c r="D19" s="2293"/>
      <c r="E19" s="2293"/>
      <c r="F19" s="2293"/>
      <c r="G19" s="2293"/>
      <c r="H19" s="2293"/>
      <c r="I19" s="2294"/>
      <c r="J19" s="2295">
        <f t="shared" ref="J19:J24" si="0">SUM(P19:AS19)</f>
        <v>75</v>
      </c>
      <c r="K19" s="2296"/>
      <c r="L19" s="2296"/>
      <c r="M19" s="2296"/>
      <c r="N19" s="2296"/>
      <c r="O19" s="2297"/>
      <c r="P19" s="2295" cm="1">
        <f t="array" ref="P19">SUMPRODUCT((Application!$B$718:$B$752 = 'CalHFA Addendum'!P$18)*(Application!$AC$718:$AC$752 = 'CalHFA Addendum'!$B19),Application!$G$718:$G$752)</f>
        <v>60</v>
      </c>
      <c r="Q19" s="2296"/>
      <c r="R19" s="2296"/>
      <c r="S19" s="2296"/>
      <c r="T19" s="2296"/>
      <c r="U19" s="2297"/>
      <c r="V19" s="2295" cm="1">
        <f t="array" ref="V19">SUMPRODUCT((Application!$B$714:$B$738 = 'CalHFA Addendum'!V$18)*(Application!$AC$714:$AC$738 = 'CalHFA Addendum'!$B19),Application!$G$714:$G$738)</f>
        <v>15</v>
      </c>
      <c r="W19" s="2296"/>
      <c r="X19" s="2296"/>
      <c r="Y19" s="2296"/>
      <c r="Z19" s="2296"/>
      <c r="AA19" s="2297"/>
      <c r="AB19" s="2295" cm="1">
        <f t="array" ref="AB19">SUMPRODUCT((Application!$B$714:$B$738 = 'CalHFA Addendum'!AB$18)*(Application!$AC$714:$AC$738 = 'CalHFA Addendum'!$B19),Application!$G$714:$G$738)</f>
        <v>0</v>
      </c>
      <c r="AC19" s="2296"/>
      <c r="AD19" s="2296"/>
      <c r="AE19" s="2296"/>
      <c r="AF19" s="2296"/>
      <c r="AG19" s="2297"/>
      <c r="AH19" s="2295" cm="1">
        <f t="array" ref="AH19">SUMPRODUCT((Application!$B$714:$B$738 = 'CalHFA Addendum'!AH$18)*(Application!$AC$714:$AC$738 = 'CalHFA Addendum'!$B19),Application!$G$714:$G$738)</f>
        <v>0</v>
      </c>
      <c r="AI19" s="2296"/>
      <c r="AJ19" s="2296"/>
      <c r="AK19" s="2296"/>
      <c r="AL19" s="2296"/>
      <c r="AM19" s="2297"/>
      <c r="AN19" s="2295" cm="1">
        <f t="array" ref="AN19">SUMPRODUCT((Application!$B$714:$B$738 = 'CalHFA Addendum'!AN$18)*(Application!$AC$714:$AC$738 = 'CalHFA Addendum'!$B19),Application!$G$714:$G$738)</f>
        <v>0</v>
      </c>
      <c r="AO19" s="2296"/>
      <c r="AP19" s="2296"/>
      <c r="AQ19" s="2296"/>
      <c r="AR19" s="2296"/>
      <c r="AS19" s="2297"/>
      <c r="AT19" s="2280">
        <f t="shared" ref="AT19:AT29" si="1">J19/$J$29</f>
        <v>0.5</v>
      </c>
      <c r="AU19" s="2281"/>
      <c r="AV19" s="2281"/>
      <c r="AW19" s="2281"/>
      <c r="AX19" s="2281"/>
      <c r="AY19" s="2282"/>
      <c r="AZ19" s="1194"/>
      <c r="BA19" s="1189"/>
      <c r="BB19" s="1189"/>
      <c r="BC19" s="1189"/>
      <c r="BD19" s="1189"/>
      <c r="BE19" s="1193"/>
    </row>
    <row r="20" spans="1:58" ht="15" customHeight="1">
      <c r="A20" s="1189"/>
      <c r="B20" s="2292">
        <v>0.4</v>
      </c>
      <c r="C20" s="2293"/>
      <c r="D20" s="2293"/>
      <c r="E20" s="2293"/>
      <c r="F20" s="2293"/>
      <c r="G20" s="2293"/>
      <c r="H20" s="2293"/>
      <c r="I20" s="2294"/>
      <c r="J20" s="2295">
        <f t="shared" si="0"/>
        <v>0</v>
      </c>
      <c r="K20" s="2296"/>
      <c r="L20" s="2296"/>
      <c r="M20" s="2296"/>
      <c r="N20" s="2296"/>
      <c r="O20" s="2297"/>
      <c r="P20" s="2295" cm="1">
        <f t="array" ref="P20">SUMPRODUCT((Application!$B$718:$B$752 = 'CalHFA Addendum'!P$18)*(Application!$AC$718:$AC$752 = 'CalHFA Addendum'!$B20),Application!$G$718:$G$752)</f>
        <v>0</v>
      </c>
      <c r="Q20" s="2296"/>
      <c r="R20" s="2296"/>
      <c r="S20" s="2296"/>
      <c r="T20" s="2296"/>
      <c r="U20" s="2297"/>
      <c r="V20" s="2295" cm="1">
        <f t="array" ref="V20">SUMPRODUCT((Application!$B$714:$B$738 = 'CalHFA Addendum'!V$18)*(Application!$AC$714:$AC$738 = 'CalHFA Addendum'!$B20),Application!$G$714:$G$738)</f>
        <v>0</v>
      </c>
      <c r="W20" s="2296"/>
      <c r="X20" s="2296"/>
      <c r="Y20" s="2296"/>
      <c r="Z20" s="2296"/>
      <c r="AA20" s="2297"/>
      <c r="AB20" s="2295" cm="1">
        <f t="array" ref="AB20">SUMPRODUCT((Application!$B$714:$B$738 = 'CalHFA Addendum'!AB$18)*(Application!$AC$714:$AC$738 = 'CalHFA Addendum'!$B20),Application!$G$714:$G$738)</f>
        <v>0</v>
      </c>
      <c r="AC20" s="2296"/>
      <c r="AD20" s="2296"/>
      <c r="AE20" s="2296"/>
      <c r="AF20" s="2296"/>
      <c r="AG20" s="2297"/>
      <c r="AH20" s="2295" cm="1">
        <f t="array" ref="AH20">SUMPRODUCT((Application!$B$714:$B$738 = 'CalHFA Addendum'!AH$18)*(Application!$AC$714:$AC$738 = 'CalHFA Addendum'!$B20),Application!$G$714:$G$738)</f>
        <v>0</v>
      </c>
      <c r="AI20" s="2296"/>
      <c r="AJ20" s="2296"/>
      <c r="AK20" s="2296"/>
      <c r="AL20" s="2296"/>
      <c r="AM20" s="2297"/>
      <c r="AN20" s="2295" cm="1">
        <f t="array" ref="AN20">SUMPRODUCT((Application!$B$714:$B$738 = 'CalHFA Addendum'!AN$18)*(Application!$AC$714:$AC$738 = 'CalHFA Addendum'!$B20),Application!$G$714:$G$738)</f>
        <v>0</v>
      </c>
      <c r="AO20" s="2296"/>
      <c r="AP20" s="2296"/>
      <c r="AQ20" s="2296"/>
      <c r="AR20" s="2296"/>
      <c r="AS20" s="2297"/>
      <c r="AT20" s="2280">
        <f t="shared" si="1"/>
        <v>0</v>
      </c>
      <c r="AU20" s="2281"/>
      <c r="AV20" s="2281"/>
      <c r="AW20" s="2281"/>
      <c r="AX20" s="2281"/>
      <c r="AY20" s="2282"/>
      <c r="AZ20" s="1189"/>
      <c r="BA20" s="1189"/>
      <c r="BB20" s="1189"/>
      <c r="BC20" s="1189"/>
      <c r="BD20" s="1189"/>
      <c r="BE20" s="1193"/>
    </row>
    <row r="21" spans="1:58" ht="15">
      <c r="A21" s="1189"/>
      <c r="B21" s="2292">
        <v>0.5</v>
      </c>
      <c r="C21" s="2293"/>
      <c r="D21" s="2293"/>
      <c r="E21" s="2293"/>
      <c r="F21" s="2293"/>
      <c r="G21" s="2293"/>
      <c r="H21" s="2293"/>
      <c r="I21" s="2294"/>
      <c r="J21" s="2295">
        <f t="shared" si="0"/>
        <v>0</v>
      </c>
      <c r="K21" s="2296"/>
      <c r="L21" s="2296"/>
      <c r="M21" s="2296"/>
      <c r="N21" s="2296"/>
      <c r="O21" s="2297"/>
      <c r="P21" s="2295" cm="1">
        <f t="array" ref="P21">SUMPRODUCT((Application!$B$714:$B$738 = 'CalHFA Addendum'!P$18)*(Application!$AC$714:$AC$738 = 'CalHFA Addendum'!$B21),Application!$G$714:$G$738)</f>
        <v>0</v>
      </c>
      <c r="Q21" s="2296"/>
      <c r="R21" s="2296"/>
      <c r="S21" s="2296"/>
      <c r="T21" s="2296"/>
      <c r="U21" s="2297"/>
      <c r="V21" s="2295" cm="1">
        <f t="array" ref="V21">SUMPRODUCT((Application!$B$714:$B$738 = 'CalHFA Addendum'!V$18)*(Application!$AC$714:$AC$738 = 'CalHFA Addendum'!$B21),Application!$G$714:$G$738)</f>
        <v>0</v>
      </c>
      <c r="W21" s="2296"/>
      <c r="X21" s="2296"/>
      <c r="Y21" s="2296"/>
      <c r="Z21" s="2296"/>
      <c r="AA21" s="2297"/>
      <c r="AB21" s="2295" cm="1">
        <f t="array" ref="AB21">SUMPRODUCT((Application!$B$714:$B$738 = 'CalHFA Addendum'!AB$18)*(Application!$AC$714:$AC$738 = 'CalHFA Addendum'!$B21),Application!$G$714:$G$738)</f>
        <v>0</v>
      </c>
      <c r="AC21" s="2296"/>
      <c r="AD21" s="2296"/>
      <c r="AE21" s="2296"/>
      <c r="AF21" s="2296"/>
      <c r="AG21" s="2297"/>
      <c r="AH21" s="2295" cm="1">
        <f t="array" ref="AH21">SUMPRODUCT((Application!$B$714:$B$738 = 'CalHFA Addendum'!AH$18)*(Application!$AC$714:$AC$738 = 'CalHFA Addendum'!$B21),Application!$G$714:$G$738)</f>
        <v>0</v>
      </c>
      <c r="AI21" s="2296"/>
      <c r="AJ21" s="2296"/>
      <c r="AK21" s="2296"/>
      <c r="AL21" s="2296"/>
      <c r="AM21" s="2297"/>
      <c r="AN21" s="2295" cm="1">
        <f t="array" ref="AN21">SUMPRODUCT((Application!$B$714:$B$738 = 'CalHFA Addendum'!AN$18)*(Application!$AC$714:$AC$738 = 'CalHFA Addendum'!$B21),Application!$G$714:$G$738)</f>
        <v>0</v>
      </c>
      <c r="AO21" s="2296"/>
      <c r="AP21" s="2296"/>
      <c r="AQ21" s="2296"/>
      <c r="AR21" s="2296"/>
      <c r="AS21" s="2297"/>
      <c r="AT21" s="2280">
        <f t="shared" si="1"/>
        <v>0</v>
      </c>
      <c r="AU21" s="2281"/>
      <c r="AV21" s="2281"/>
      <c r="AW21" s="2281"/>
      <c r="AX21" s="2281"/>
      <c r="AY21" s="2282"/>
      <c r="AZ21" s="1189"/>
      <c r="BA21" s="1189"/>
      <c r="BB21" s="1189"/>
      <c r="BC21" s="1189"/>
      <c r="BD21" s="1189"/>
      <c r="BE21" s="1193"/>
    </row>
    <row r="22" spans="1:58" ht="15">
      <c r="A22" s="1189"/>
      <c r="B22" s="2292">
        <v>0.6</v>
      </c>
      <c r="C22" s="2293"/>
      <c r="D22" s="2293"/>
      <c r="E22" s="2293"/>
      <c r="F22" s="2293"/>
      <c r="G22" s="2293"/>
      <c r="H22" s="2293"/>
      <c r="I22" s="2294"/>
      <c r="J22" s="2295">
        <f t="shared" si="0"/>
        <v>74</v>
      </c>
      <c r="K22" s="2296"/>
      <c r="L22" s="2296"/>
      <c r="M22" s="2296"/>
      <c r="N22" s="2296"/>
      <c r="O22" s="2297"/>
      <c r="P22" s="2295" cm="1">
        <f t="array" ref="P22">SUMPRODUCT((Application!$B$714:$B$738 = 'CalHFA Addendum'!P$18)*(Application!$AC$714:$AC$738 = 'CalHFA Addendum'!$B22),Application!$G$714:$G$738)</f>
        <v>60</v>
      </c>
      <c r="Q22" s="2296"/>
      <c r="R22" s="2296"/>
      <c r="S22" s="2296"/>
      <c r="T22" s="2296"/>
      <c r="U22" s="2297"/>
      <c r="V22" s="2295" cm="1">
        <f t="array" ref="V22">SUMPRODUCT((Application!$B$714:$B$738 = 'CalHFA Addendum'!V$18)*(Application!$AC$714:$AC$738 = 'CalHFA Addendum'!$B22),Application!$G$714:$G$738)</f>
        <v>14</v>
      </c>
      <c r="W22" s="2296"/>
      <c r="X22" s="2296"/>
      <c r="Y22" s="2296"/>
      <c r="Z22" s="2296"/>
      <c r="AA22" s="2297"/>
      <c r="AB22" s="2295" cm="1">
        <f t="array" ref="AB22">SUMPRODUCT((Application!$B$714:$B$738 = 'CalHFA Addendum'!AB$18)*(Application!$AC$714:$AC$738 = 'CalHFA Addendum'!$B22),Application!$G$714:$G$738)</f>
        <v>0</v>
      </c>
      <c r="AC22" s="2296"/>
      <c r="AD22" s="2296"/>
      <c r="AE22" s="2296"/>
      <c r="AF22" s="2296"/>
      <c r="AG22" s="2297"/>
      <c r="AH22" s="2295" cm="1">
        <f t="array" ref="AH22">SUMPRODUCT((Application!$B$714:$B$738 = 'CalHFA Addendum'!AH$18)*(Application!$AC$714:$AC$738 = 'CalHFA Addendum'!$B22),Application!$G$714:$G$738)</f>
        <v>0</v>
      </c>
      <c r="AI22" s="2296"/>
      <c r="AJ22" s="2296"/>
      <c r="AK22" s="2296"/>
      <c r="AL22" s="2296"/>
      <c r="AM22" s="2297"/>
      <c r="AN22" s="2295" cm="1">
        <f t="array" ref="AN22">SUMPRODUCT((Application!$B$714:$B$738 = 'CalHFA Addendum'!AN$18)*(Application!$AC$714:$AC$738 = 'CalHFA Addendum'!$B22),Application!$G$714:$G$738)</f>
        <v>0</v>
      </c>
      <c r="AO22" s="2296"/>
      <c r="AP22" s="2296"/>
      <c r="AQ22" s="2296"/>
      <c r="AR22" s="2296"/>
      <c r="AS22" s="2297"/>
      <c r="AT22" s="2280">
        <f t="shared" si="1"/>
        <v>0.49333333333333335</v>
      </c>
      <c r="AU22" s="2281"/>
      <c r="AV22" s="2281"/>
      <c r="AW22" s="2281"/>
      <c r="AX22" s="2281"/>
      <c r="AY22" s="2282"/>
      <c r="AZ22" s="1189"/>
      <c r="BA22" s="1189"/>
      <c r="BB22" s="1189"/>
      <c r="BC22" s="1189"/>
      <c r="BD22" s="1189"/>
      <c r="BE22" s="1193"/>
    </row>
    <row r="23" spans="1:58" ht="15">
      <c r="A23" s="1189"/>
      <c r="B23" s="2292">
        <v>0.7</v>
      </c>
      <c r="C23" s="2293"/>
      <c r="D23" s="2293"/>
      <c r="E23" s="2293"/>
      <c r="F23" s="2293"/>
      <c r="G23" s="2293"/>
      <c r="H23" s="2293"/>
      <c r="I23" s="2294"/>
      <c r="J23" s="2295">
        <f t="shared" si="0"/>
        <v>0</v>
      </c>
      <c r="K23" s="2296"/>
      <c r="L23" s="2296"/>
      <c r="M23" s="2296"/>
      <c r="N23" s="2296"/>
      <c r="O23" s="2297"/>
      <c r="P23" s="2295" cm="1">
        <f t="array" ref="P23">SUMPRODUCT((Application!$B$714:$B$738 = 'CalHFA Addendum'!P$18)*(Application!$AC$714:$AC$738 = 'CalHFA Addendum'!$B23),Application!$G$714:$G$738)</f>
        <v>0</v>
      </c>
      <c r="Q23" s="2296"/>
      <c r="R23" s="2296"/>
      <c r="S23" s="2296"/>
      <c r="T23" s="2296"/>
      <c r="U23" s="2297"/>
      <c r="V23" s="2295" cm="1">
        <f t="array" ref="V23">SUMPRODUCT((Application!$B$714:$B$738 = 'CalHFA Addendum'!V$18)*(Application!$AC$714:$AC$738 = 'CalHFA Addendum'!$B23),Application!$G$714:$G$738)</f>
        <v>0</v>
      </c>
      <c r="W23" s="2296"/>
      <c r="X23" s="2296"/>
      <c r="Y23" s="2296"/>
      <c r="Z23" s="2296"/>
      <c r="AA23" s="2297"/>
      <c r="AB23" s="2295" cm="1">
        <f t="array" ref="AB23">SUMPRODUCT((Application!$B$714:$B$738 = 'CalHFA Addendum'!AB$18)*(Application!$AC$714:$AC$738 = 'CalHFA Addendum'!$B23),Application!$G$714:$G$738)</f>
        <v>0</v>
      </c>
      <c r="AC23" s="2296"/>
      <c r="AD23" s="2296"/>
      <c r="AE23" s="2296"/>
      <c r="AF23" s="2296"/>
      <c r="AG23" s="2297"/>
      <c r="AH23" s="2295" cm="1">
        <f t="array" ref="AH23">SUMPRODUCT((Application!$B$714:$B$738 = 'CalHFA Addendum'!AH$18)*(Application!$AC$714:$AC$738 = 'CalHFA Addendum'!$B23),Application!$G$714:$G$738)</f>
        <v>0</v>
      </c>
      <c r="AI23" s="2296"/>
      <c r="AJ23" s="2296"/>
      <c r="AK23" s="2296"/>
      <c r="AL23" s="2296"/>
      <c r="AM23" s="2297"/>
      <c r="AN23" s="2295" cm="1">
        <f t="array" ref="AN23">SUMPRODUCT((Application!$B$714:$B$738 = 'CalHFA Addendum'!AN$18)*(Application!$AC$714:$AC$738 = 'CalHFA Addendum'!$B23),Application!$G$714:$G$738)</f>
        <v>0</v>
      </c>
      <c r="AO23" s="2296"/>
      <c r="AP23" s="2296"/>
      <c r="AQ23" s="2296"/>
      <c r="AR23" s="2296"/>
      <c r="AS23" s="2297"/>
      <c r="AT23" s="2280">
        <f t="shared" si="1"/>
        <v>0</v>
      </c>
      <c r="AU23" s="2281"/>
      <c r="AV23" s="2281"/>
      <c r="AW23" s="2281"/>
      <c r="AX23" s="2281"/>
      <c r="AY23" s="2282"/>
      <c r="AZ23" s="1189"/>
      <c r="BA23" s="1189"/>
      <c r="BB23" s="1189"/>
      <c r="BC23" s="1189"/>
      <c r="BD23" s="1189"/>
      <c r="BE23" s="1193"/>
    </row>
    <row r="24" spans="1:58" ht="15">
      <c r="A24" s="1189"/>
      <c r="B24" s="2292">
        <v>0.8</v>
      </c>
      <c r="C24" s="2293"/>
      <c r="D24" s="2293"/>
      <c r="E24" s="2293"/>
      <c r="F24" s="2293"/>
      <c r="G24" s="2293"/>
      <c r="H24" s="2293"/>
      <c r="I24" s="2294"/>
      <c r="J24" s="2295">
        <f t="shared" si="0"/>
        <v>0</v>
      </c>
      <c r="K24" s="2296"/>
      <c r="L24" s="2296"/>
      <c r="M24" s="2296"/>
      <c r="N24" s="2296"/>
      <c r="O24" s="2297"/>
      <c r="P24" s="2295" cm="1">
        <f t="array" ref="P24">SUMPRODUCT((Application!$B$714:$B$738 = 'CalHFA Addendum'!P$18)*(Application!$AC$714:$AC$738 = 'CalHFA Addendum'!$B24),Application!$G$714:$G$738)</f>
        <v>0</v>
      </c>
      <c r="Q24" s="2296"/>
      <c r="R24" s="2296"/>
      <c r="S24" s="2296"/>
      <c r="T24" s="2296"/>
      <c r="U24" s="2297"/>
      <c r="V24" s="2295" cm="1">
        <f t="array" ref="V24">SUMPRODUCT((Application!$B$714:$B$738 = 'CalHFA Addendum'!V$18)*(Application!$AC$714:$AC$738 = 'CalHFA Addendum'!$B24),Application!$G$714:$G$738)</f>
        <v>0</v>
      </c>
      <c r="W24" s="2296"/>
      <c r="X24" s="2296"/>
      <c r="Y24" s="2296"/>
      <c r="Z24" s="2296"/>
      <c r="AA24" s="2297"/>
      <c r="AB24" s="2295" cm="1">
        <f t="array" ref="AB24">SUMPRODUCT((Application!$B$714:$B$738 = 'CalHFA Addendum'!AB$18)*(Application!$AC$714:$AC$738 = 'CalHFA Addendum'!$B24),Application!$G$714:$G$738)</f>
        <v>0</v>
      </c>
      <c r="AC24" s="2296"/>
      <c r="AD24" s="2296"/>
      <c r="AE24" s="2296"/>
      <c r="AF24" s="2296"/>
      <c r="AG24" s="2297"/>
      <c r="AH24" s="2295" cm="1">
        <f t="array" ref="AH24">SUMPRODUCT((Application!$B$714:$B$738 = 'CalHFA Addendum'!AH$18)*(Application!$AC$714:$AC$738 = 'CalHFA Addendum'!$B24),Application!$G$714:$G$738)</f>
        <v>0</v>
      </c>
      <c r="AI24" s="2296"/>
      <c r="AJ24" s="2296"/>
      <c r="AK24" s="2296"/>
      <c r="AL24" s="2296"/>
      <c r="AM24" s="2297"/>
      <c r="AN24" s="2295" cm="1">
        <f t="array" ref="AN24">SUMPRODUCT((Application!$B$714:$B$738 = 'CalHFA Addendum'!AN$18)*(Application!$AC$714:$AC$738 = 'CalHFA Addendum'!$B24),Application!$G$714:$G$738)</f>
        <v>0</v>
      </c>
      <c r="AO24" s="2296"/>
      <c r="AP24" s="2296"/>
      <c r="AQ24" s="2296"/>
      <c r="AR24" s="2296"/>
      <c r="AS24" s="2297"/>
      <c r="AT24" s="2280">
        <f t="shared" si="1"/>
        <v>0</v>
      </c>
      <c r="AU24" s="2281"/>
      <c r="AV24" s="2281"/>
      <c r="AW24" s="2281"/>
      <c r="AX24" s="2281"/>
      <c r="AY24" s="2282"/>
      <c r="AZ24" s="1189"/>
      <c r="BA24" s="1189"/>
      <c r="BB24" s="1189"/>
      <c r="BC24" s="1189"/>
      <c r="BD24" s="1189"/>
      <c r="BE24" s="1193"/>
    </row>
    <row r="25" spans="1:58" ht="15">
      <c r="A25" s="1189"/>
      <c r="B25" s="2292">
        <v>0.9</v>
      </c>
      <c r="C25" s="2293"/>
      <c r="D25" s="2293"/>
      <c r="E25" s="2293"/>
      <c r="F25" s="2293"/>
      <c r="G25" s="2293"/>
      <c r="H25" s="2293"/>
      <c r="I25" s="2294"/>
      <c r="J25" s="2277"/>
      <c r="K25" s="2278"/>
      <c r="L25" s="2278"/>
      <c r="M25" s="2278"/>
      <c r="N25" s="2278"/>
      <c r="O25" s="2279"/>
      <c r="P25" s="2277"/>
      <c r="Q25" s="2278"/>
      <c r="R25" s="2278"/>
      <c r="S25" s="2278"/>
      <c r="T25" s="2278"/>
      <c r="U25" s="2279"/>
      <c r="V25" s="2277"/>
      <c r="W25" s="2278"/>
      <c r="X25" s="2278"/>
      <c r="Y25" s="2278"/>
      <c r="Z25" s="2278"/>
      <c r="AA25" s="2279"/>
      <c r="AB25" s="2277"/>
      <c r="AC25" s="2278"/>
      <c r="AD25" s="2278"/>
      <c r="AE25" s="2278"/>
      <c r="AF25" s="2278"/>
      <c r="AG25" s="2279"/>
      <c r="AH25" s="2277"/>
      <c r="AI25" s="2278"/>
      <c r="AJ25" s="2278"/>
      <c r="AK25" s="2278"/>
      <c r="AL25" s="2278"/>
      <c r="AM25" s="2279"/>
      <c r="AN25" s="2277"/>
      <c r="AO25" s="2278"/>
      <c r="AP25" s="2278"/>
      <c r="AQ25" s="2278"/>
      <c r="AR25" s="2278"/>
      <c r="AS25" s="2279"/>
      <c r="AT25" s="2280">
        <f t="shared" si="1"/>
        <v>0</v>
      </c>
      <c r="AU25" s="2281"/>
      <c r="AV25" s="2281"/>
      <c r="AW25" s="2281"/>
      <c r="AX25" s="2281"/>
      <c r="AY25" s="2282"/>
      <c r="AZ25" s="1189"/>
      <c r="BA25" s="1189"/>
      <c r="BB25" s="1189"/>
      <c r="BC25" s="1189"/>
      <c r="BD25" s="1189"/>
      <c r="BE25" s="1193"/>
    </row>
    <row r="26" spans="1:58" ht="15">
      <c r="A26" s="1189"/>
      <c r="B26" s="2292">
        <v>1</v>
      </c>
      <c r="C26" s="2293"/>
      <c r="D26" s="2293"/>
      <c r="E26" s="2293"/>
      <c r="F26" s="2293"/>
      <c r="G26" s="2293"/>
      <c r="H26" s="2293"/>
      <c r="I26" s="2294"/>
      <c r="J26" s="2277"/>
      <c r="K26" s="2278"/>
      <c r="L26" s="2278"/>
      <c r="M26" s="2278"/>
      <c r="N26" s="2278"/>
      <c r="O26" s="2279"/>
      <c r="P26" s="2277"/>
      <c r="Q26" s="2278"/>
      <c r="R26" s="2278"/>
      <c r="S26" s="2278"/>
      <c r="T26" s="2278"/>
      <c r="U26" s="2279"/>
      <c r="V26" s="2277"/>
      <c r="W26" s="2278"/>
      <c r="X26" s="2278"/>
      <c r="Y26" s="2278"/>
      <c r="Z26" s="2278"/>
      <c r="AA26" s="2279"/>
      <c r="AB26" s="2277"/>
      <c r="AC26" s="2278"/>
      <c r="AD26" s="2278"/>
      <c r="AE26" s="2278"/>
      <c r="AF26" s="2278"/>
      <c r="AG26" s="2279"/>
      <c r="AH26" s="2277"/>
      <c r="AI26" s="2278"/>
      <c r="AJ26" s="2278"/>
      <c r="AK26" s="2278"/>
      <c r="AL26" s="2278"/>
      <c r="AM26" s="2279"/>
      <c r="AN26" s="2277"/>
      <c r="AO26" s="2278"/>
      <c r="AP26" s="2278"/>
      <c r="AQ26" s="2278"/>
      <c r="AR26" s="2278"/>
      <c r="AS26" s="2279"/>
      <c r="AT26" s="2280">
        <f t="shared" si="1"/>
        <v>0</v>
      </c>
      <c r="AU26" s="2281"/>
      <c r="AV26" s="2281"/>
      <c r="AW26" s="2281"/>
      <c r="AX26" s="2281"/>
      <c r="AY26" s="2282"/>
      <c r="AZ26" s="1189"/>
      <c r="BA26" s="1189"/>
      <c r="BB26" s="1189"/>
      <c r="BC26" s="1189"/>
      <c r="BD26" s="1189"/>
      <c r="BE26" s="1193"/>
    </row>
    <row r="27" spans="1:58" ht="15">
      <c r="A27" s="1189"/>
      <c r="B27" s="2292">
        <v>1.2</v>
      </c>
      <c r="C27" s="2293"/>
      <c r="D27" s="2293"/>
      <c r="E27" s="2293"/>
      <c r="F27" s="2293"/>
      <c r="G27" s="2293"/>
      <c r="H27" s="2293"/>
      <c r="I27" s="2294"/>
      <c r="J27" s="2277"/>
      <c r="K27" s="2278"/>
      <c r="L27" s="2278"/>
      <c r="M27" s="2278"/>
      <c r="N27" s="2278"/>
      <c r="O27" s="2279"/>
      <c r="P27" s="2277"/>
      <c r="Q27" s="2278"/>
      <c r="R27" s="2278"/>
      <c r="S27" s="2278"/>
      <c r="T27" s="2278"/>
      <c r="U27" s="2279"/>
      <c r="V27" s="2277"/>
      <c r="W27" s="2278"/>
      <c r="X27" s="2278"/>
      <c r="Y27" s="2278"/>
      <c r="Z27" s="2278"/>
      <c r="AA27" s="2279"/>
      <c r="AB27" s="2277"/>
      <c r="AC27" s="2278"/>
      <c r="AD27" s="2278"/>
      <c r="AE27" s="2278"/>
      <c r="AF27" s="2278"/>
      <c r="AG27" s="2279"/>
      <c r="AH27" s="2277"/>
      <c r="AI27" s="2278"/>
      <c r="AJ27" s="2278"/>
      <c r="AK27" s="2278"/>
      <c r="AL27" s="2278"/>
      <c r="AM27" s="2279"/>
      <c r="AN27" s="2277"/>
      <c r="AO27" s="2278"/>
      <c r="AP27" s="2278"/>
      <c r="AQ27" s="2278"/>
      <c r="AR27" s="2278"/>
      <c r="AS27" s="2279"/>
      <c r="AT27" s="2280">
        <f t="shared" si="1"/>
        <v>0</v>
      </c>
      <c r="AU27" s="2281"/>
      <c r="AV27" s="2281"/>
      <c r="AW27" s="2281"/>
      <c r="AX27" s="2281"/>
      <c r="AY27" s="2282"/>
      <c r="AZ27" s="1189"/>
      <c r="BA27" s="1189"/>
      <c r="BB27" s="1189"/>
      <c r="BC27" s="1189"/>
      <c r="BD27" s="1189"/>
      <c r="BE27" s="1193"/>
    </row>
    <row r="28" spans="1:58" thickBot="1">
      <c r="A28" s="1189"/>
      <c r="B28" s="2283" t="s">
        <v>2433</v>
      </c>
      <c r="C28" s="2284"/>
      <c r="D28" s="2284"/>
      <c r="E28" s="2284"/>
      <c r="F28" s="2284"/>
      <c r="G28" s="2284"/>
      <c r="H28" s="2284"/>
      <c r="I28" s="2285"/>
      <c r="J28" s="2286">
        <f>SUM(P28:AS28)</f>
        <v>1</v>
      </c>
      <c r="K28" s="2287"/>
      <c r="L28" s="2287"/>
      <c r="M28" s="2287"/>
      <c r="N28" s="2287"/>
      <c r="O28" s="2288"/>
      <c r="P28" s="2286">
        <f>_xlfn.IFNA(VLOOKUP(P$18,Application!$J$773:$S$776,6,FALSE), 0)</f>
        <v>0</v>
      </c>
      <c r="Q28" s="2287"/>
      <c r="R28" s="2287"/>
      <c r="S28" s="2287"/>
      <c r="T28" s="2287"/>
      <c r="U28" s="2288"/>
      <c r="V28" s="2286">
        <f>_xlfn.IFNA(VLOOKUP(V$18,Application!$J$773:$S$776,6,FALSE), 0)</f>
        <v>0</v>
      </c>
      <c r="W28" s="2287"/>
      <c r="X28" s="2287"/>
      <c r="Y28" s="2287"/>
      <c r="Z28" s="2287"/>
      <c r="AA28" s="2288"/>
      <c r="AB28" s="2286">
        <f>_xlfn.IFNA(VLOOKUP(AB$18,Application!$J$773:$S$776,6,FALSE), 0)</f>
        <v>1</v>
      </c>
      <c r="AC28" s="2287"/>
      <c r="AD28" s="2287"/>
      <c r="AE28" s="2287"/>
      <c r="AF28" s="2287"/>
      <c r="AG28" s="2288"/>
      <c r="AH28" s="2286">
        <f>_xlfn.IFNA(VLOOKUP(AH$18,Application!$J$773:$S$776,6,FALSE), 0)</f>
        <v>0</v>
      </c>
      <c r="AI28" s="2287"/>
      <c r="AJ28" s="2287"/>
      <c r="AK28" s="2287"/>
      <c r="AL28" s="2287"/>
      <c r="AM28" s="2288"/>
      <c r="AN28" s="2286">
        <f>_xlfn.IFNA(VLOOKUP(AN$18,Application!$J$773:$S$776,6,FALSE), 0)</f>
        <v>0</v>
      </c>
      <c r="AO28" s="2287"/>
      <c r="AP28" s="2287"/>
      <c r="AQ28" s="2287"/>
      <c r="AR28" s="2287"/>
      <c r="AS28" s="2288"/>
      <c r="AT28" s="2289">
        <f t="shared" si="1"/>
        <v>6.6666666666666671E-3</v>
      </c>
      <c r="AU28" s="2290"/>
      <c r="AV28" s="2290"/>
      <c r="AW28" s="2290"/>
      <c r="AX28" s="2290"/>
      <c r="AY28" s="2291"/>
      <c r="AZ28" s="1189"/>
      <c r="BA28" s="1189"/>
      <c r="BB28" s="1189"/>
      <c r="BC28" s="1189"/>
      <c r="BD28" s="1189"/>
      <c r="BE28" s="1193"/>
    </row>
    <row r="29" spans="1:58" thickBot="1">
      <c r="A29" s="1189"/>
      <c r="B29" s="2266" t="s">
        <v>1587</v>
      </c>
      <c r="C29" s="2239"/>
      <c r="D29" s="2239"/>
      <c r="E29" s="2239"/>
      <c r="F29" s="2239"/>
      <c r="G29" s="2239"/>
      <c r="H29" s="2239"/>
      <c r="I29" s="2240"/>
      <c r="J29" s="2238">
        <f>SUM(J19:O28)</f>
        <v>150</v>
      </c>
      <c r="K29" s="2239"/>
      <c r="L29" s="2239"/>
      <c r="M29" s="2239"/>
      <c r="N29" s="2239"/>
      <c r="O29" s="2240"/>
      <c r="P29" s="2238">
        <f>SUM(P19:U28)</f>
        <v>120</v>
      </c>
      <c r="Q29" s="2239"/>
      <c r="R29" s="2239"/>
      <c r="S29" s="2239"/>
      <c r="T29" s="2239"/>
      <c r="U29" s="2240"/>
      <c r="V29" s="2238">
        <f>SUM(V19:AA28)</f>
        <v>29</v>
      </c>
      <c r="W29" s="2239"/>
      <c r="X29" s="2239"/>
      <c r="Y29" s="2239"/>
      <c r="Z29" s="2239"/>
      <c r="AA29" s="2240"/>
      <c r="AB29" s="2238">
        <f>SUM(AB19:AG28)</f>
        <v>1</v>
      </c>
      <c r="AC29" s="2239"/>
      <c r="AD29" s="2239"/>
      <c r="AE29" s="2239"/>
      <c r="AF29" s="2239"/>
      <c r="AG29" s="2240"/>
      <c r="AH29" s="2238">
        <f>SUM(AH19:AM28)</f>
        <v>0</v>
      </c>
      <c r="AI29" s="2239"/>
      <c r="AJ29" s="2239"/>
      <c r="AK29" s="2239"/>
      <c r="AL29" s="2239"/>
      <c r="AM29" s="2240"/>
      <c r="AN29" s="2238">
        <f>SUM(AN19:AS28)</f>
        <v>0</v>
      </c>
      <c r="AO29" s="2239"/>
      <c r="AP29" s="2239"/>
      <c r="AQ29" s="2239"/>
      <c r="AR29" s="2239"/>
      <c r="AS29" s="2240"/>
      <c r="AT29" s="2241">
        <f t="shared" si="1"/>
        <v>1</v>
      </c>
      <c r="AU29" s="2242"/>
      <c r="AV29" s="2242"/>
      <c r="AW29" s="2242"/>
      <c r="AX29" s="2242"/>
      <c r="AY29" s="2243"/>
      <c r="AZ29" s="1189"/>
      <c r="BA29" s="1189"/>
      <c r="BB29" s="1189"/>
      <c r="BC29" s="1189"/>
      <c r="BD29" s="1189"/>
      <c r="BE29" s="1193"/>
    </row>
    <row r="30" spans="1:58" thickBot="1">
      <c r="A30" s="1188"/>
      <c r="B30" s="1189"/>
      <c r="C30" s="1189"/>
      <c r="D30" s="1189"/>
      <c r="E30" s="1189"/>
      <c r="F30" s="1189"/>
      <c r="G30" s="1189"/>
      <c r="H30" s="1189"/>
      <c r="I30" s="1189"/>
      <c r="J30" s="1189"/>
      <c r="K30" s="1189"/>
      <c r="L30" s="1189"/>
      <c r="M30" s="1189"/>
      <c r="N30" s="1189"/>
      <c r="O30" s="1189"/>
      <c r="P30" s="1189"/>
      <c r="Q30" s="1189"/>
      <c r="R30" s="1189"/>
      <c r="S30" s="1189"/>
      <c r="T30" s="1189"/>
      <c r="U30" s="1189"/>
      <c r="V30" s="1189"/>
      <c r="W30" s="1189"/>
      <c r="X30" s="1189"/>
      <c r="Y30" s="1189"/>
      <c r="Z30" s="1189"/>
      <c r="AA30" s="1189"/>
      <c r="AB30" s="1189"/>
      <c r="AC30" s="1189"/>
      <c r="AD30" s="1189"/>
      <c r="AE30" s="1189"/>
      <c r="AF30" s="1189"/>
      <c r="AG30" s="1189"/>
      <c r="AH30" s="1189"/>
      <c r="AI30" s="1189"/>
      <c r="AJ30" s="1189"/>
      <c r="AK30" s="1189"/>
      <c r="AL30" s="1189"/>
      <c r="AM30" s="1189"/>
      <c r="AN30" s="1189"/>
      <c r="AO30" s="1189"/>
      <c r="AP30" s="1189"/>
      <c r="AQ30" s="1189"/>
      <c r="AR30" s="1189"/>
      <c r="AS30" s="1189"/>
      <c r="AT30" s="1189"/>
      <c r="AU30" s="1189"/>
      <c r="AV30" s="1189"/>
      <c r="AW30" s="1189"/>
      <c r="AX30" s="1189"/>
      <c r="AY30" s="1189"/>
      <c r="AZ30" s="1189"/>
      <c r="BA30" s="1189"/>
      <c r="BB30" s="1189"/>
      <c r="BC30" s="1189"/>
      <c r="BD30" s="1189"/>
      <c r="BE30" s="1193"/>
    </row>
    <row r="31" spans="1:58" thickBot="1">
      <c r="A31" s="1189"/>
      <c r="B31" s="2244" t="s">
        <v>2432</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1193"/>
    </row>
    <row r="32" spans="1:58" thickBot="1">
      <c r="A32" s="1189"/>
      <c r="B32" s="2247" t="s">
        <v>2431</v>
      </c>
      <c r="C32" s="2248"/>
      <c r="D32" s="2248"/>
      <c r="E32" s="2248"/>
      <c r="F32" s="2248"/>
      <c r="G32" s="2248"/>
      <c r="H32" s="2248"/>
      <c r="I32" s="2248"/>
      <c r="J32" s="2251" t="s">
        <v>2430</v>
      </c>
      <c r="K32" s="2252"/>
      <c r="L32" s="2252"/>
      <c r="M32" s="2252"/>
      <c r="N32" s="2251" t="s">
        <v>2429</v>
      </c>
      <c r="O32" s="2252"/>
      <c r="P32" s="2252"/>
      <c r="Q32" s="2254"/>
      <c r="R32" s="2256" t="s">
        <v>2428</v>
      </c>
      <c r="S32" s="2257"/>
      <c r="T32" s="2257"/>
      <c r="U32" s="2257"/>
      <c r="V32" s="2257"/>
      <c r="W32" s="2257"/>
      <c r="X32" s="2257"/>
      <c r="Y32" s="2257"/>
      <c r="Z32" s="2257"/>
      <c r="AA32" s="2257"/>
      <c r="AB32" s="2257"/>
      <c r="AC32" s="2257"/>
      <c r="AD32" s="2257"/>
      <c r="AE32" s="2257"/>
      <c r="AF32" s="2257"/>
      <c r="AG32" s="2257"/>
      <c r="AH32" s="2257"/>
      <c r="AI32" s="2257"/>
      <c r="AJ32" s="2257"/>
      <c r="AK32" s="2257"/>
      <c r="AL32" s="2257"/>
      <c r="AM32" s="2257"/>
      <c r="AN32" s="2257"/>
      <c r="AO32" s="2257"/>
      <c r="AP32" s="2257"/>
      <c r="AQ32" s="2257"/>
      <c r="AR32" s="2257"/>
      <c r="AS32" s="2257"/>
      <c r="AT32" s="2257"/>
      <c r="AU32" s="2257"/>
      <c r="AV32" s="2257"/>
      <c r="AW32" s="2257"/>
      <c r="AX32" s="2257"/>
      <c r="AY32" s="2257"/>
      <c r="AZ32" s="2257"/>
      <c r="BA32" s="2257"/>
      <c r="BB32" s="2257"/>
      <c r="BC32" s="2257"/>
      <c r="BD32" s="2258"/>
      <c r="BE32" s="1193"/>
    </row>
    <row r="33" spans="1:58" ht="15" customHeight="1">
      <c r="A33" s="1189"/>
      <c r="B33" s="2249"/>
      <c r="C33" s="2250"/>
      <c r="D33" s="2250"/>
      <c r="E33" s="2250"/>
      <c r="F33" s="2250"/>
      <c r="G33" s="2250"/>
      <c r="H33" s="2250"/>
      <c r="I33" s="2250"/>
      <c r="J33" s="2253"/>
      <c r="K33" s="2253"/>
      <c r="L33" s="2253"/>
      <c r="M33" s="2253"/>
      <c r="N33" s="2253"/>
      <c r="O33" s="2253"/>
      <c r="P33" s="2253"/>
      <c r="Q33" s="2255"/>
      <c r="R33" s="2259" t="s">
        <v>2427</v>
      </c>
      <c r="S33" s="2260"/>
      <c r="T33" s="2260"/>
      <c r="U33" s="2260"/>
      <c r="V33" s="2260"/>
      <c r="W33" s="2260"/>
      <c r="X33" s="2260"/>
      <c r="Y33" s="2260"/>
      <c r="Z33" s="2260"/>
      <c r="AA33" s="2260"/>
      <c r="AB33" s="2260"/>
      <c r="AC33" s="2260"/>
      <c r="AD33" s="2260"/>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2260"/>
      <c r="BB33" s="2260"/>
      <c r="BC33" s="2260"/>
      <c r="BD33" s="2261"/>
      <c r="BE33" s="1193"/>
    </row>
    <row r="34" spans="1:58" ht="15.75" customHeight="1" thickBot="1">
      <c r="A34" s="1189"/>
      <c r="B34" s="2249"/>
      <c r="C34" s="2250"/>
      <c r="D34" s="2250"/>
      <c r="E34" s="2250"/>
      <c r="F34" s="2250"/>
      <c r="G34" s="2250"/>
      <c r="H34" s="2250"/>
      <c r="I34" s="2250"/>
      <c r="J34" s="2253"/>
      <c r="K34" s="2253"/>
      <c r="L34" s="2253"/>
      <c r="M34" s="2253"/>
      <c r="N34" s="2253"/>
      <c r="O34" s="2253"/>
      <c r="P34" s="2253"/>
      <c r="Q34" s="2255"/>
      <c r="R34" s="2262"/>
      <c r="S34" s="2263"/>
      <c r="T34" s="2263"/>
      <c r="U34" s="2263"/>
      <c r="V34" s="2263"/>
      <c r="W34" s="2263"/>
      <c r="X34" s="2263"/>
      <c r="Y34" s="2263"/>
      <c r="Z34" s="2263"/>
      <c r="AA34" s="2263"/>
      <c r="AB34" s="2263"/>
      <c r="AC34" s="2263"/>
      <c r="AD34" s="2263"/>
      <c r="AE34" s="2263"/>
      <c r="AF34" s="2263"/>
      <c r="AG34" s="2263"/>
      <c r="AH34" s="2263"/>
      <c r="AI34" s="2263"/>
      <c r="AJ34" s="2263"/>
      <c r="AK34" s="2263"/>
      <c r="AL34" s="2263"/>
      <c r="AM34" s="2263"/>
      <c r="AN34" s="2263"/>
      <c r="AO34" s="2263"/>
      <c r="AP34" s="2263"/>
      <c r="AQ34" s="2263"/>
      <c r="AR34" s="2263"/>
      <c r="AS34" s="2263"/>
      <c r="AT34" s="2263"/>
      <c r="AU34" s="2263"/>
      <c r="AV34" s="2263"/>
      <c r="AW34" s="2263"/>
      <c r="AX34" s="2263"/>
      <c r="AY34" s="2263"/>
      <c r="AZ34" s="2263"/>
      <c r="BA34" s="2263"/>
      <c r="BB34" s="2263"/>
      <c r="BC34" s="2263"/>
      <c r="BD34" s="2264"/>
      <c r="BE34" s="1193"/>
    </row>
    <row r="35" spans="1:58" ht="15.75" customHeight="1">
      <c r="A35" s="1189"/>
      <c r="B35" s="2249"/>
      <c r="C35" s="2250"/>
      <c r="D35" s="2250"/>
      <c r="E35" s="2250"/>
      <c r="F35" s="2250"/>
      <c r="G35" s="2250"/>
      <c r="H35" s="2250"/>
      <c r="I35" s="2250"/>
      <c r="J35" s="2253"/>
      <c r="K35" s="2253"/>
      <c r="L35" s="2253"/>
      <c r="M35" s="2253"/>
      <c r="N35" s="2253"/>
      <c r="O35" s="2253"/>
      <c r="P35" s="2253"/>
      <c r="Q35" s="2253"/>
      <c r="R35" s="2265">
        <v>0.3</v>
      </c>
      <c r="S35" s="2265"/>
      <c r="T35" s="2265"/>
      <c r="U35" s="2265"/>
      <c r="V35" s="2265">
        <v>0.4</v>
      </c>
      <c r="W35" s="2265"/>
      <c r="X35" s="2265"/>
      <c r="Y35" s="2265"/>
      <c r="Z35" s="2265">
        <v>0.5</v>
      </c>
      <c r="AA35" s="2265"/>
      <c r="AB35" s="2265"/>
      <c r="AC35" s="2265"/>
      <c r="AD35" s="2265">
        <v>0.6</v>
      </c>
      <c r="AE35" s="2265"/>
      <c r="AF35" s="2265"/>
      <c r="AG35" s="2265"/>
      <c r="AH35" s="2265">
        <v>0.7</v>
      </c>
      <c r="AI35" s="2265"/>
      <c r="AJ35" s="2265"/>
      <c r="AK35" s="2265"/>
      <c r="AL35" s="2270">
        <v>0.8</v>
      </c>
      <c r="AM35" s="2271"/>
      <c r="AN35" s="2271"/>
      <c r="AO35" s="2272"/>
      <c r="AP35" s="2273">
        <v>1.2</v>
      </c>
      <c r="AQ35" s="2274"/>
      <c r="AR35" s="2275"/>
      <c r="AS35" s="2267" t="s">
        <v>2426</v>
      </c>
      <c r="AT35" s="2268"/>
      <c r="AU35" s="2268"/>
      <c r="AV35" s="2268"/>
      <c r="AW35" s="2268"/>
      <c r="AX35" s="2276"/>
      <c r="AY35" s="2267" t="s">
        <v>2425</v>
      </c>
      <c r="AZ35" s="2268"/>
      <c r="BA35" s="2268"/>
      <c r="BB35" s="2268"/>
      <c r="BC35" s="2268"/>
      <c r="BD35" s="2269"/>
      <c r="BE35" s="1193"/>
    </row>
    <row r="36" spans="1:58" ht="15.75" customHeight="1">
      <c r="A36" s="1189"/>
      <c r="B36" s="2171" t="s">
        <v>2424</v>
      </c>
      <c r="C36" s="2172"/>
      <c r="D36" s="2172"/>
      <c r="E36" s="2172"/>
      <c r="F36" s="2172"/>
      <c r="G36" s="2172"/>
      <c r="H36" s="2172"/>
      <c r="I36" s="2172"/>
      <c r="J36" s="2236" t="s">
        <v>2423</v>
      </c>
      <c r="K36" s="2236"/>
      <c r="L36" s="2236"/>
      <c r="M36" s="2236"/>
      <c r="N36" s="2236">
        <v>55</v>
      </c>
      <c r="O36" s="2236"/>
      <c r="P36" s="2236"/>
      <c r="Q36" s="2236"/>
      <c r="R36" s="2237"/>
      <c r="S36" s="2237"/>
      <c r="T36" s="2237"/>
      <c r="U36" s="2237"/>
      <c r="V36" s="2237"/>
      <c r="W36" s="2237"/>
      <c r="X36" s="2237"/>
      <c r="Y36" s="2237"/>
      <c r="Z36" s="2237"/>
      <c r="AA36" s="2237"/>
      <c r="AB36" s="2237"/>
      <c r="AC36" s="2237"/>
      <c r="AD36" s="2237"/>
      <c r="AE36" s="2237"/>
      <c r="AF36" s="2237"/>
      <c r="AG36" s="2237"/>
      <c r="AH36" s="2237"/>
      <c r="AI36" s="2237"/>
      <c r="AJ36" s="2237"/>
      <c r="AK36" s="2237"/>
      <c r="AL36" s="2221"/>
      <c r="AM36" s="2222"/>
      <c r="AN36" s="2222"/>
      <c r="AO36" s="2223"/>
      <c r="AP36" s="2221"/>
      <c r="AQ36" s="2222"/>
      <c r="AR36" s="2223"/>
      <c r="AS36" s="2224">
        <f t="shared" ref="AS36:AS47" si="2">SUM(R36:AR36)</f>
        <v>0</v>
      </c>
      <c r="AT36" s="2225"/>
      <c r="AU36" s="2225"/>
      <c r="AV36" s="2225"/>
      <c r="AW36" s="2225"/>
      <c r="AX36" s="2226"/>
      <c r="AY36" s="2227">
        <f t="shared" ref="AY36:AY47" si="3">AS36/$J$29</f>
        <v>0</v>
      </c>
      <c r="AZ36" s="2228"/>
      <c r="BA36" s="2228"/>
      <c r="BB36" s="2228"/>
      <c r="BC36" s="2228"/>
      <c r="BD36" s="2229"/>
      <c r="BE36" s="1193"/>
    </row>
    <row r="37" spans="1:58" ht="15.75" customHeight="1">
      <c r="A37" s="1189"/>
      <c r="B37" s="2171" t="s">
        <v>2422</v>
      </c>
      <c r="C37" s="2172"/>
      <c r="D37" s="2172"/>
      <c r="E37" s="2172"/>
      <c r="F37" s="2172"/>
      <c r="G37" s="2172"/>
      <c r="H37" s="2172"/>
      <c r="I37" s="2172"/>
      <c r="J37" s="2236" t="s">
        <v>2421</v>
      </c>
      <c r="K37" s="2236"/>
      <c r="L37" s="2236"/>
      <c r="M37" s="2236"/>
      <c r="N37" s="2236">
        <v>55</v>
      </c>
      <c r="O37" s="2236"/>
      <c r="P37" s="2236"/>
      <c r="Q37" s="2236"/>
      <c r="R37" s="2237"/>
      <c r="S37" s="2237"/>
      <c r="T37" s="2237"/>
      <c r="U37" s="2237"/>
      <c r="V37" s="2237"/>
      <c r="W37" s="2237"/>
      <c r="X37" s="2237"/>
      <c r="Y37" s="2237"/>
      <c r="Z37" s="2237"/>
      <c r="AA37" s="2237"/>
      <c r="AB37" s="2237"/>
      <c r="AC37" s="2237"/>
      <c r="AD37" s="2237"/>
      <c r="AE37" s="2237"/>
      <c r="AF37" s="2237"/>
      <c r="AG37" s="2237"/>
      <c r="AH37" s="2237"/>
      <c r="AI37" s="2237"/>
      <c r="AJ37" s="2237"/>
      <c r="AK37" s="2237"/>
      <c r="AL37" s="2221"/>
      <c r="AM37" s="2222"/>
      <c r="AN37" s="2222"/>
      <c r="AO37" s="2223"/>
      <c r="AP37" s="2221"/>
      <c r="AQ37" s="2222"/>
      <c r="AR37" s="2223"/>
      <c r="AS37" s="2224">
        <f t="shared" si="2"/>
        <v>0</v>
      </c>
      <c r="AT37" s="2225"/>
      <c r="AU37" s="2225"/>
      <c r="AV37" s="2225"/>
      <c r="AW37" s="2225"/>
      <c r="AX37" s="2226"/>
      <c r="AY37" s="2227">
        <f t="shared" si="3"/>
        <v>0</v>
      </c>
      <c r="AZ37" s="2228"/>
      <c r="BA37" s="2228"/>
      <c r="BB37" s="2228"/>
      <c r="BC37" s="2228"/>
      <c r="BD37" s="2229"/>
      <c r="BE37" s="1193"/>
    </row>
    <row r="38" spans="1:58" ht="15.75" customHeight="1">
      <c r="A38" s="1189"/>
      <c r="B38" s="2171" t="s">
        <v>2420</v>
      </c>
      <c r="C38" s="2172"/>
      <c r="D38" s="2172"/>
      <c r="E38" s="2172"/>
      <c r="F38" s="2172"/>
      <c r="G38" s="2172"/>
      <c r="H38" s="2172"/>
      <c r="I38" s="2172"/>
      <c r="J38" s="2236" t="s">
        <v>2419</v>
      </c>
      <c r="K38" s="2236"/>
      <c r="L38" s="2236"/>
      <c r="M38" s="2236"/>
      <c r="N38" s="2236">
        <v>55</v>
      </c>
      <c r="O38" s="2236"/>
      <c r="P38" s="2236"/>
      <c r="Q38" s="2236"/>
      <c r="R38" s="2237"/>
      <c r="S38" s="2237"/>
      <c r="T38" s="2237"/>
      <c r="U38" s="2237"/>
      <c r="V38" s="2237"/>
      <c r="W38" s="2237"/>
      <c r="X38" s="2237"/>
      <c r="Y38" s="2237"/>
      <c r="Z38" s="2237"/>
      <c r="AA38" s="2237"/>
      <c r="AB38" s="2237"/>
      <c r="AC38" s="2237"/>
      <c r="AD38" s="2237"/>
      <c r="AE38" s="2237"/>
      <c r="AF38" s="2237"/>
      <c r="AG38" s="2237"/>
      <c r="AH38" s="2237"/>
      <c r="AI38" s="2237"/>
      <c r="AJ38" s="2237"/>
      <c r="AK38" s="2237"/>
      <c r="AL38" s="2221"/>
      <c r="AM38" s="2222"/>
      <c r="AN38" s="2222"/>
      <c r="AO38" s="2223"/>
      <c r="AP38" s="2221"/>
      <c r="AQ38" s="2222"/>
      <c r="AR38" s="2223"/>
      <c r="AS38" s="2224">
        <f t="shared" si="2"/>
        <v>0</v>
      </c>
      <c r="AT38" s="2225"/>
      <c r="AU38" s="2225"/>
      <c r="AV38" s="2225"/>
      <c r="AW38" s="2225"/>
      <c r="AX38" s="2226"/>
      <c r="AY38" s="2227">
        <f t="shared" si="3"/>
        <v>0</v>
      </c>
      <c r="AZ38" s="2228"/>
      <c r="BA38" s="2228"/>
      <c r="BB38" s="2228"/>
      <c r="BC38" s="2228"/>
      <c r="BD38" s="2229"/>
      <c r="BE38" s="1193"/>
    </row>
    <row r="39" spans="1:58" ht="15.75" customHeight="1">
      <c r="A39" s="1189"/>
      <c r="B39" s="2171" t="s">
        <v>2418</v>
      </c>
      <c r="C39" s="2172"/>
      <c r="D39" s="2172"/>
      <c r="E39" s="2172"/>
      <c r="F39" s="2172"/>
      <c r="G39" s="2172"/>
      <c r="H39" s="2172"/>
      <c r="I39" s="2172"/>
      <c r="J39" s="2236"/>
      <c r="K39" s="2236"/>
      <c r="L39" s="2236"/>
      <c r="M39" s="2236"/>
      <c r="N39" s="2236"/>
      <c r="O39" s="2236"/>
      <c r="P39" s="2236"/>
      <c r="Q39" s="2236"/>
      <c r="R39" s="2237"/>
      <c r="S39" s="2237"/>
      <c r="T39" s="2237"/>
      <c r="U39" s="2237"/>
      <c r="V39" s="2237"/>
      <c r="W39" s="2237"/>
      <c r="X39" s="2237"/>
      <c r="Y39" s="2237"/>
      <c r="Z39" s="2237"/>
      <c r="AA39" s="2237"/>
      <c r="AB39" s="2237"/>
      <c r="AC39" s="2237"/>
      <c r="AD39" s="2237"/>
      <c r="AE39" s="2237"/>
      <c r="AF39" s="2237"/>
      <c r="AG39" s="2237"/>
      <c r="AH39" s="2237"/>
      <c r="AI39" s="2237"/>
      <c r="AJ39" s="2237"/>
      <c r="AK39" s="2237"/>
      <c r="AL39" s="2221"/>
      <c r="AM39" s="2222"/>
      <c r="AN39" s="2222"/>
      <c r="AO39" s="2223"/>
      <c r="AP39" s="2221"/>
      <c r="AQ39" s="2222"/>
      <c r="AR39" s="2223"/>
      <c r="AS39" s="2224">
        <f t="shared" si="2"/>
        <v>0</v>
      </c>
      <c r="AT39" s="2225"/>
      <c r="AU39" s="2225"/>
      <c r="AV39" s="2225"/>
      <c r="AW39" s="2225"/>
      <c r="AX39" s="2226"/>
      <c r="AY39" s="2227">
        <f t="shared" si="3"/>
        <v>0</v>
      </c>
      <c r="AZ39" s="2228"/>
      <c r="BA39" s="2228"/>
      <c r="BB39" s="2228"/>
      <c r="BC39" s="2228"/>
      <c r="BD39" s="2229"/>
      <c r="BE39" s="1193"/>
    </row>
    <row r="40" spans="1:58" ht="15.75" customHeight="1">
      <c r="A40" s="1189"/>
      <c r="B40" s="2171" t="s">
        <v>2418</v>
      </c>
      <c r="C40" s="2172"/>
      <c r="D40" s="2172"/>
      <c r="E40" s="2172"/>
      <c r="F40" s="2172"/>
      <c r="G40" s="2172"/>
      <c r="H40" s="2172"/>
      <c r="I40" s="2172"/>
      <c r="J40" s="2236"/>
      <c r="K40" s="2236"/>
      <c r="L40" s="2236"/>
      <c r="M40" s="2236"/>
      <c r="N40" s="2236"/>
      <c r="O40" s="2236"/>
      <c r="P40" s="2236"/>
      <c r="Q40" s="2236"/>
      <c r="R40" s="2237"/>
      <c r="S40" s="2237"/>
      <c r="T40" s="2237"/>
      <c r="U40" s="2237"/>
      <c r="V40" s="2237"/>
      <c r="W40" s="2237"/>
      <c r="X40" s="2237"/>
      <c r="Y40" s="2237"/>
      <c r="Z40" s="2237"/>
      <c r="AA40" s="2237"/>
      <c r="AB40" s="2237"/>
      <c r="AC40" s="2237"/>
      <c r="AD40" s="2237"/>
      <c r="AE40" s="2237"/>
      <c r="AF40" s="2237"/>
      <c r="AG40" s="2237"/>
      <c r="AH40" s="2237"/>
      <c r="AI40" s="2237"/>
      <c r="AJ40" s="2237"/>
      <c r="AK40" s="2237"/>
      <c r="AL40" s="2221"/>
      <c r="AM40" s="2222"/>
      <c r="AN40" s="2222"/>
      <c r="AO40" s="2223"/>
      <c r="AP40" s="2221"/>
      <c r="AQ40" s="2222"/>
      <c r="AR40" s="2223"/>
      <c r="AS40" s="2224">
        <f t="shared" si="2"/>
        <v>0</v>
      </c>
      <c r="AT40" s="2225"/>
      <c r="AU40" s="2225"/>
      <c r="AV40" s="2225"/>
      <c r="AW40" s="2225"/>
      <c r="AX40" s="2226"/>
      <c r="AY40" s="2227">
        <f t="shared" si="3"/>
        <v>0</v>
      </c>
      <c r="AZ40" s="2228"/>
      <c r="BA40" s="2228"/>
      <c r="BB40" s="2228"/>
      <c r="BC40" s="2228"/>
      <c r="BD40" s="2229"/>
      <c r="BE40" s="1193"/>
    </row>
    <row r="41" spans="1:58" ht="15.75" customHeight="1">
      <c r="A41" s="1189"/>
      <c r="B41" s="2171" t="s">
        <v>2417</v>
      </c>
      <c r="C41" s="2172"/>
      <c r="D41" s="2172"/>
      <c r="E41" s="2172"/>
      <c r="F41" s="2172"/>
      <c r="G41" s="2172"/>
      <c r="H41" s="2172"/>
      <c r="I41" s="2172"/>
      <c r="J41" s="2236"/>
      <c r="K41" s="2236"/>
      <c r="L41" s="2236"/>
      <c r="M41" s="2236"/>
      <c r="N41" s="2236"/>
      <c r="O41" s="2236"/>
      <c r="P41" s="2236"/>
      <c r="Q41" s="2236"/>
      <c r="R41" s="2237"/>
      <c r="S41" s="2237"/>
      <c r="T41" s="2237"/>
      <c r="U41" s="2237"/>
      <c r="V41" s="2237"/>
      <c r="W41" s="2237"/>
      <c r="X41" s="2237"/>
      <c r="Y41" s="2237"/>
      <c r="Z41" s="2237"/>
      <c r="AA41" s="2237"/>
      <c r="AB41" s="2237"/>
      <c r="AC41" s="2237"/>
      <c r="AD41" s="2237"/>
      <c r="AE41" s="2237"/>
      <c r="AF41" s="2237"/>
      <c r="AG41" s="2237"/>
      <c r="AH41" s="2237"/>
      <c r="AI41" s="2237"/>
      <c r="AJ41" s="2237"/>
      <c r="AK41" s="2237"/>
      <c r="AL41" s="2221"/>
      <c r="AM41" s="2222"/>
      <c r="AN41" s="2222"/>
      <c r="AO41" s="2223"/>
      <c r="AP41" s="2221"/>
      <c r="AQ41" s="2222"/>
      <c r="AR41" s="2223"/>
      <c r="AS41" s="2224">
        <f t="shared" si="2"/>
        <v>0</v>
      </c>
      <c r="AT41" s="2225"/>
      <c r="AU41" s="2225"/>
      <c r="AV41" s="2225"/>
      <c r="AW41" s="2225"/>
      <c r="AX41" s="2226"/>
      <c r="AY41" s="2227">
        <f t="shared" si="3"/>
        <v>0</v>
      </c>
      <c r="AZ41" s="2228"/>
      <c r="BA41" s="2228"/>
      <c r="BB41" s="2228"/>
      <c r="BC41" s="2228"/>
      <c r="BD41" s="2229"/>
      <c r="BE41" s="1193"/>
    </row>
    <row r="42" spans="1:58" ht="15.75" customHeight="1">
      <c r="A42" s="1189"/>
      <c r="B42" s="2171" t="s">
        <v>2417</v>
      </c>
      <c r="C42" s="2172"/>
      <c r="D42" s="2172"/>
      <c r="E42" s="2172"/>
      <c r="F42" s="2172"/>
      <c r="G42" s="2172"/>
      <c r="H42" s="2172"/>
      <c r="I42" s="2172"/>
      <c r="J42" s="2236"/>
      <c r="K42" s="2236"/>
      <c r="L42" s="2236"/>
      <c r="M42" s="2236"/>
      <c r="N42" s="2236"/>
      <c r="O42" s="2236"/>
      <c r="P42" s="2236"/>
      <c r="Q42" s="2236"/>
      <c r="R42" s="2237"/>
      <c r="S42" s="2237"/>
      <c r="T42" s="2237"/>
      <c r="U42" s="2237"/>
      <c r="V42" s="2237"/>
      <c r="W42" s="2237"/>
      <c r="X42" s="2237"/>
      <c r="Y42" s="2237"/>
      <c r="Z42" s="2237"/>
      <c r="AA42" s="2237"/>
      <c r="AB42" s="2237"/>
      <c r="AC42" s="2237"/>
      <c r="AD42" s="2237"/>
      <c r="AE42" s="2237"/>
      <c r="AF42" s="2237"/>
      <c r="AG42" s="2237"/>
      <c r="AH42" s="2237"/>
      <c r="AI42" s="2237"/>
      <c r="AJ42" s="2237"/>
      <c r="AK42" s="2237"/>
      <c r="AL42" s="2221"/>
      <c r="AM42" s="2222"/>
      <c r="AN42" s="2222"/>
      <c r="AO42" s="2223"/>
      <c r="AP42" s="2221"/>
      <c r="AQ42" s="2222"/>
      <c r="AR42" s="2223"/>
      <c r="AS42" s="2224">
        <f t="shared" si="2"/>
        <v>0</v>
      </c>
      <c r="AT42" s="2225"/>
      <c r="AU42" s="2225"/>
      <c r="AV42" s="2225"/>
      <c r="AW42" s="2225"/>
      <c r="AX42" s="2226"/>
      <c r="AY42" s="2227">
        <f t="shared" si="3"/>
        <v>0</v>
      </c>
      <c r="AZ42" s="2228"/>
      <c r="BA42" s="2228"/>
      <c r="BB42" s="2228"/>
      <c r="BC42" s="2228"/>
      <c r="BD42" s="2229"/>
      <c r="BE42" s="1193"/>
    </row>
    <row r="43" spans="1:58" ht="15.75" customHeight="1">
      <c r="A43" s="1189"/>
      <c r="B43" s="2176" t="s">
        <v>2416</v>
      </c>
      <c r="C43" s="2177"/>
      <c r="D43" s="2177"/>
      <c r="E43" s="2177"/>
      <c r="F43" s="2177"/>
      <c r="G43" s="2177"/>
      <c r="H43" s="2177"/>
      <c r="I43" s="2177"/>
      <c r="J43" s="2236"/>
      <c r="K43" s="2236"/>
      <c r="L43" s="2236"/>
      <c r="M43" s="2236"/>
      <c r="N43" s="2236"/>
      <c r="O43" s="2236"/>
      <c r="P43" s="2236"/>
      <c r="Q43" s="2236"/>
      <c r="R43" s="2237"/>
      <c r="S43" s="2237"/>
      <c r="T43" s="2237"/>
      <c r="U43" s="2237"/>
      <c r="V43" s="2237"/>
      <c r="W43" s="2237"/>
      <c r="X43" s="2237"/>
      <c r="Y43" s="2237"/>
      <c r="Z43" s="2237"/>
      <c r="AA43" s="2237"/>
      <c r="AB43" s="2237"/>
      <c r="AC43" s="2237"/>
      <c r="AD43" s="2237"/>
      <c r="AE43" s="2237"/>
      <c r="AF43" s="2237"/>
      <c r="AG43" s="2237"/>
      <c r="AH43" s="2237"/>
      <c r="AI43" s="2237"/>
      <c r="AJ43" s="2237"/>
      <c r="AK43" s="2237"/>
      <c r="AL43" s="2221"/>
      <c r="AM43" s="2222"/>
      <c r="AN43" s="2222"/>
      <c r="AO43" s="2223"/>
      <c r="AP43" s="2221"/>
      <c r="AQ43" s="2222"/>
      <c r="AR43" s="2223"/>
      <c r="AS43" s="2224">
        <f t="shared" si="2"/>
        <v>0</v>
      </c>
      <c r="AT43" s="2225"/>
      <c r="AU43" s="2225"/>
      <c r="AV43" s="2225"/>
      <c r="AW43" s="2225"/>
      <c r="AX43" s="2226"/>
      <c r="AY43" s="2227">
        <f t="shared" si="3"/>
        <v>0</v>
      </c>
      <c r="AZ43" s="2228"/>
      <c r="BA43" s="2228"/>
      <c r="BB43" s="2228"/>
      <c r="BC43" s="2228"/>
      <c r="BD43" s="2229"/>
      <c r="BE43" s="1193"/>
    </row>
    <row r="44" spans="1:58" ht="15.75" customHeight="1">
      <c r="A44" s="1189"/>
      <c r="B44" s="2176" t="s">
        <v>2415</v>
      </c>
      <c r="C44" s="2177"/>
      <c r="D44" s="2177"/>
      <c r="E44" s="2177"/>
      <c r="F44" s="2177"/>
      <c r="G44" s="2177"/>
      <c r="H44" s="2177"/>
      <c r="I44" s="2177"/>
      <c r="J44" s="2236"/>
      <c r="K44" s="2236"/>
      <c r="L44" s="2236"/>
      <c r="M44" s="2236"/>
      <c r="N44" s="2236"/>
      <c r="O44" s="2236"/>
      <c r="P44" s="2236"/>
      <c r="Q44" s="2236"/>
      <c r="R44" s="2237"/>
      <c r="S44" s="2237"/>
      <c r="T44" s="2237"/>
      <c r="U44" s="2237"/>
      <c r="V44" s="2237"/>
      <c r="W44" s="2237"/>
      <c r="X44" s="2237"/>
      <c r="Y44" s="2237"/>
      <c r="Z44" s="2237"/>
      <c r="AA44" s="2237"/>
      <c r="AB44" s="2237"/>
      <c r="AC44" s="2237"/>
      <c r="AD44" s="2237"/>
      <c r="AE44" s="2237"/>
      <c r="AF44" s="2237"/>
      <c r="AG44" s="2237"/>
      <c r="AH44" s="2237"/>
      <c r="AI44" s="2237"/>
      <c r="AJ44" s="2237"/>
      <c r="AK44" s="2237"/>
      <c r="AL44" s="2221"/>
      <c r="AM44" s="2222"/>
      <c r="AN44" s="2222"/>
      <c r="AO44" s="2223"/>
      <c r="AP44" s="2221"/>
      <c r="AQ44" s="2222"/>
      <c r="AR44" s="2223"/>
      <c r="AS44" s="2224">
        <f t="shared" si="2"/>
        <v>0</v>
      </c>
      <c r="AT44" s="2225"/>
      <c r="AU44" s="2225"/>
      <c r="AV44" s="2225"/>
      <c r="AW44" s="2225"/>
      <c r="AX44" s="2226"/>
      <c r="AY44" s="2227">
        <f t="shared" si="3"/>
        <v>0</v>
      </c>
      <c r="AZ44" s="2228"/>
      <c r="BA44" s="2228"/>
      <c r="BB44" s="2228"/>
      <c r="BC44" s="2228"/>
      <c r="BD44" s="2229"/>
      <c r="BE44" s="1193"/>
    </row>
    <row r="45" spans="1:58" ht="15.75" customHeight="1">
      <c r="A45" s="1189"/>
      <c r="B45" s="2176" t="s">
        <v>2414</v>
      </c>
      <c r="C45" s="2177"/>
      <c r="D45" s="2177"/>
      <c r="E45" s="2177"/>
      <c r="F45" s="2177"/>
      <c r="G45" s="2177"/>
      <c r="H45" s="2177"/>
      <c r="I45" s="2177"/>
      <c r="J45" s="2236"/>
      <c r="K45" s="2236"/>
      <c r="L45" s="2236"/>
      <c r="M45" s="2236"/>
      <c r="N45" s="2236"/>
      <c r="O45" s="2236"/>
      <c r="P45" s="2236"/>
      <c r="Q45" s="2236"/>
      <c r="R45" s="2237"/>
      <c r="S45" s="2237"/>
      <c r="T45" s="2237"/>
      <c r="U45" s="2237"/>
      <c r="V45" s="2237"/>
      <c r="W45" s="2237"/>
      <c r="X45" s="2237"/>
      <c r="Y45" s="2237"/>
      <c r="Z45" s="2237"/>
      <c r="AA45" s="2237"/>
      <c r="AB45" s="2237"/>
      <c r="AC45" s="2237"/>
      <c r="AD45" s="2237"/>
      <c r="AE45" s="2237"/>
      <c r="AF45" s="2237"/>
      <c r="AG45" s="2237"/>
      <c r="AH45" s="2237"/>
      <c r="AI45" s="2237"/>
      <c r="AJ45" s="2237"/>
      <c r="AK45" s="2237"/>
      <c r="AL45" s="2221"/>
      <c r="AM45" s="2222"/>
      <c r="AN45" s="2222"/>
      <c r="AO45" s="2223"/>
      <c r="AP45" s="2221"/>
      <c r="AQ45" s="2222"/>
      <c r="AR45" s="2223"/>
      <c r="AS45" s="2224">
        <f t="shared" si="2"/>
        <v>0</v>
      </c>
      <c r="AT45" s="2225"/>
      <c r="AU45" s="2225"/>
      <c r="AV45" s="2225"/>
      <c r="AW45" s="2225"/>
      <c r="AX45" s="2226"/>
      <c r="AY45" s="2227">
        <f t="shared" si="3"/>
        <v>0</v>
      </c>
      <c r="AZ45" s="2228"/>
      <c r="BA45" s="2228"/>
      <c r="BB45" s="2228"/>
      <c r="BC45" s="2228"/>
      <c r="BD45" s="2229"/>
      <c r="BE45" s="1193"/>
    </row>
    <row r="46" spans="1:58" ht="15.75" customHeight="1">
      <c r="A46" s="1189"/>
      <c r="B46" s="2176" t="s">
        <v>2338</v>
      </c>
      <c r="C46" s="2177"/>
      <c r="D46" s="2177"/>
      <c r="E46" s="2177"/>
      <c r="F46" s="2177"/>
      <c r="G46" s="2177"/>
      <c r="H46" s="2177"/>
      <c r="I46" s="2177"/>
      <c r="J46" s="2236"/>
      <c r="K46" s="2236"/>
      <c r="L46" s="2236"/>
      <c r="M46" s="2236"/>
      <c r="N46" s="2236">
        <v>99</v>
      </c>
      <c r="O46" s="2236"/>
      <c r="P46" s="2236"/>
      <c r="Q46" s="2236"/>
      <c r="R46" s="2237"/>
      <c r="S46" s="2237"/>
      <c r="T46" s="2237"/>
      <c r="U46" s="2237"/>
      <c r="V46" s="2237"/>
      <c r="W46" s="2237"/>
      <c r="X46" s="2237"/>
      <c r="Y46" s="2237"/>
      <c r="Z46" s="2237"/>
      <c r="AA46" s="2237"/>
      <c r="AB46" s="2237"/>
      <c r="AC46" s="2237"/>
      <c r="AD46" s="2237"/>
      <c r="AE46" s="2237"/>
      <c r="AF46" s="2237"/>
      <c r="AG46" s="2237"/>
      <c r="AH46" s="2237"/>
      <c r="AI46" s="2237"/>
      <c r="AJ46" s="2237"/>
      <c r="AK46" s="2237"/>
      <c r="AL46" s="2221"/>
      <c r="AM46" s="2222"/>
      <c r="AN46" s="2222"/>
      <c r="AO46" s="2223"/>
      <c r="AP46" s="2221"/>
      <c r="AQ46" s="2222"/>
      <c r="AR46" s="2223"/>
      <c r="AS46" s="2224">
        <f t="shared" si="2"/>
        <v>0</v>
      </c>
      <c r="AT46" s="2225"/>
      <c r="AU46" s="2225"/>
      <c r="AV46" s="2225"/>
      <c r="AW46" s="2225"/>
      <c r="AX46" s="2226"/>
      <c r="AY46" s="2227">
        <f t="shared" si="3"/>
        <v>0</v>
      </c>
      <c r="AZ46" s="2228"/>
      <c r="BA46" s="2228"/>
      <c r="BB46" s="2228"/>
      <c r="BC46" s="2228"/>
      <c r="BD46" s="2229"/>
      <c r="BE46" s="1193"/>
    </row>
    <row r="47" spans="1:58" ht="15.75" customHeight="1" thickBot="1">
      <c r="A47" s="1189"/>
      <c r="B47" s="2230" t="s">
        <v>300</v>
      </c>
      <c r="C47" s="2231"/>
      <c r="D47" s="2231"/>
      <c r="E47" s="2231"/>
      <c r="F47" s="2231"/>
      <c r="G47" s="2231"/>
      <c r="H47" s="2231"/>
      <c r="I47" s="2231"/>
      <c r="J47" s="2232"/>
      <c r="K47" s="2232"/>
      <c r="L47" s="2232"/>
      <c r="M47" s="2232"/>
      <c r="N47" s="2232"/>
      <c r="O47" s="2232"/>
      <c r="P47" s="2232"/>
      <c r="Q47" s="2232"/>
      <c r="R47" s="2217"/>
      <c r="S47" s="2217"/>
      <c r="T47" s="2217"/>
      <c r="U47" s="2217"/>
      <c r="V47" s="2217"/>
      <c r="W47" s="2217"/>
      <c r="X47" s="2217"/>
      <c r="Y47" s="2217"/>
      <c r="Z47" s="2217"/>
      <c r="AA47" s="2217"/>
      <c r="AB47" s="2217"/>
      <c r="AC47" s="2217"/>
      <c r="AD47" s="2217"/>
      <c r="AE47" s="2217"/>
      <c r="AF47" s="2217"/>
      <c r="AG47" s="2217"/>
      <c r="AH47" s="2217"/>
      <c r="AI47" s="2217"/>
      <c r="AJ47" s="2217"/>
      <c r="AK47" s="2217"/>
      <c r="AL47" s="2218"/>
      <c r="AM47" s="2219"/>
      <c r="AN47" s="2219"/>
      <c r="AO47" s="2220"/>
      <c r="AP47" s="2218"/>
      <c r="AQ47" s="2219"/>
      <c r="AR47" s="2220"/>
      <c r="AS47" s="2224">
        <f t="shared" si="2"/>
        <v>0</v>
      </c>
      <c r="AT47" s="2225"/>
      <c r="AU47" s="2225"/>
      <c r="AV47" s="2225"/>
      <c r="AW47" s="2225"/>
      <c r="AX47" s="2226"/>
      <c r="AY47" s="2233">
        <f t="shared" si="3"/>
        <v>0</v>
      </c>
      <c r="AZ47" s="2234"/>
      <c r="BA47" s="2234"/>
      <c r="BB47" s="2234"/>
      <c r="BC47" s="2234"/>
      <c r="BD47" s="2235"/>
      <c r="BE47" s="1193"/>
    </row>
    <row r="48" spans="1:58" ht="15.75" customHeight="1">
      <c r="A48" s="1189"/>
      <c r="B48" s="1195" t="s">
        <v>2413</v>
      </c>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89"/>
      <c r="Z48" s="1189"/>
      <c r="AA48" s="1189"/>
      <c r="AB48" s="1189"/>
      <c r="AC48" s="1189"/>
      <c r="AD48" s="1189"/>
      <c r="AE48" s="1189"/>
      <c r="AF48" s="1189"/>
      <c r="AG48" s="1189"/>
      <c r="AH48" s="1189"/>
      <c r="AI48" s="1189"/>
      <c r="AJ48" s="1189"/>
      <c r="AK48" s="1189"/>
      <c r="AL48" s="1189"/>
      <c r="AM48" s="1189"/>
      <c r="AN48" s="1189"/>
      <c r="AO48" s="1189"/>
      <c r="AP48" s="1189"/>
      <c r="AQ48" s="1189"/>
      <c r="AR48" s="1189"/>
      <c r="AS48" s="1189"/>
      <c r="AT48" s="1189"/>
      <c r="AU48" s="1189"/>
      <c r="AV48" s="1189"/>
      <c r="AW48" s="1189"/>
      <c r="AX48" s="1189"/>
      <c r="AY48" s="1189"/>
      <c r="AZ48" s="1189"/>
      <c r="BA48" s="1189"/>
      <c r="BB48" s="1189"/>
      <c r="BC48" s="1189"/>
      <c r="BD48" s="1189"/>
      <c r="BE48" s="1193"/>
      <c r="BF48" s="1187"/>
    </row>
    <row r="49" spans="1:77" ht="15.75" customHeight="1" thickBot="1">
      <c r="A49" s="1189"/>
      <c r="B49" s="1195" t="s">
        <v>2412</v>
      </c>
      <c r="C49" s="1189"/>
      <c r="D49" s="1189"/>
      <c r="E49" s="1189"/>
      <c r="F49" s="1189"/>
      <c r="G49" s="1189"/>
      <c r="H49" s="1189"/>
      <c r="I49" s="1189"/>
      <c r="J49" s="1189"/>
      <c r="K49" s="1189"/>
      <c r="L49" s="1189"/>
      <c r="M49" s="1189"/>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89"/>
      <c r="AP49" s="1191"/>
      <c r="AQ49" s="1191"/>
      <c r="AR49" s="1191"/>
      <c r="AS49" s="1191"/>
      <c r="AT49" s="1191"/>
      <c r="AU49" s="1191"/>
      <c r="AV49" s="1191"/>
      <c r="AW49" s="1191"/>
      <c r="AX49" s="1189"/>
      <c r="AY49" s="1189"/>
      <c r="AZ49" s="1189"/>
      <c r="BA49" s="1189"/>
      <c r="BB49" s="1189"/>
      <c r="BC49" s="1189"/>
      <c r="BD49" s="1189"/>
      <c r="BE49" s="1193"/>
      <c r="BF49" s="1187"/>
    </row>
    <row r="50" spans="1:77" ht="15.75" customHeight="1">
      <c r="A50" s="1189"/>
      <c r="B50" s="2083" t="s">
        <v>2411</v>
      </c>
      <c r="C50" s="2039"/>
      <c r="D50" s="2039"/>
      <c r="E50" s="2039"/>
      <c r="F50" s="2039"/>
      <c r="G50" s="2039"/>
      <c r="H50" s="2039"/>
      <c r="I50" s="2039"/>
      <c r="J50" s="2039"/>
      <c r="K50" s="2039"/>
      <c r="L50" s="2039"/>
      <c r="M50" s="2039"/>
      <c r="N50" s="2039"/>
      <c r="O50" s="2039"/>
      <c r="P50" s="2039"/>
      <c r="Q50" s="2039"/>
      <c r="R50" s="2039"/>
      <c r="S50" s="2039"/>
      <c r="T50" s="2039"/>
      <c r="U50" s="2039"/>
      <c r="V50" s="2039"/>
      <c r="W50" s="2039"/>
      <c r="X50" s="2039"/>
      <c r="Y50" s="2039"/>
      <c r="Z50" s="2039"/>
      <c r="AA50" s="2039"/>
      <c r="AB50" s="2039"/>
      <c r="AC50" s="2039"/>
      <c r="AD50" s="2039"/>
      <c r="AE50" s="2039"/>
      <c r="AF50" s="2039"/>
      <c r="AG50" s="2039"/>
      <c r="AH50" s="2039"/>
      <c r="AI50" s="2039"/>
      <c r="AJ50" s="2039"/>
      <c r="AK50" s="2039"/>
      <c r="AL50" s="2039"/>
      <c r="AM50" s="2039"/>
      <c r="AN50" s="2039"/>
      <c r="AO50" s="2040"/>
      <c r="AP50" s="1191"/>
      <c r="AQ50" s="1191"/>
      <c r="AR50" s="1191"/>
      <c r="AS50" s="1191"/>
      <c r="AT50" s="1191"/>
      <c r="AU50" s="1191"/>
      <c r="AV50" s="1191"/>
      <c r="AW50" s="1191"/>
      <c r="AX50" s="1189"/>
      <c r="AY50" s="1189"/>
      <c r="AZ50" s="1189"/>
      <c r="BA50" s="1189"/>
      <c r="BB50" s="1189"/>
      <c r="BC50" s="1189"/>
      <c r="BD50" s="1189"/>
      <c r="BE50" s="1193"/>
    </row>
    <row r="51" spans="1:77" ht="33.75" customHeight="1">
      <c r="A51" s="1189"/>
      <c r="B51" s="2146" t="s">
        <v>2404</v>
      </c>
      <c r="C51" s="2114"/>
      <c r="D51" s="2114"/>
      <c r="E51" s="2114"/>
      <c r="F51" s="2114"/>
      <c r="G51" s="2114"/>
      <c r="H51" s="2114"/>
      <c r="I51" s="2114"/>
      <c r="J51" s="2114" t="s">
        <v>2410</v>
      </c>
      <c r="K51" s="2114"/>
      <c r="L51" s="2114"/>
      <c r="M51" s="2114"/>
      <c r="N51" s="2114"/>
      <c r="O51" s="2114"/>
      <c r="P51" s="2114"/>
      <c r="Q51" s="2114"/>
      <c r="R51" s="2215" t="s">
        <v>2409</v>
      </c>
      <c r="S51" s="2215"/>
      <c r="T51" s="2215"/>
      <c r="U51" s="2215"/>
      <c r="V51" s="2215"/>
      <c r="W51" s="2215"/>
      <c r="X51" s="2215"/>
      <c r="Y51" s="2215"/>
      <c r="Z51" s="2215" t="s">
        <v>2408</v>
      </c>
      <c r="AA51" s="2215"/>
      <c r="AB51" s="2215"/>
      <c r="AC51" s="2215"/>
      <c r="AD51" s="2215"/>
      <c r="AE51" s="2215"/>
      <c r="AF51" s="2215"/>
      <c r="AG51" s="2215"/>
      <c r="AH51" s="2215" t="s">
        <v>2407</v>
      </c>
      <c r="AI51" s="2215"/>
      <c r="AJ51" s="2215"/>
      <c r="AK51" s="2215"/>
      <c r="AL51" s="2215"/>
      <c r="AM51" s="2215"/>
      <c r="AN51" s="2215"/>
      <c r="AO51" s="2216"/>
      <c r="AP51" s="1191"/>
      <c r="AQ51" s="1191"/>
      <c r="AR51" s="1191"/>
      <c r="AS51" s="1191"/>
      <c r="AT51" s="1191"/>
      <c r="AU51" s="1191"/>
      <c r="AV51" s="1191"/>
      <c r="AW51" s="1191"/>
      <c r="AX51" s="1194"/>
      <c r="AY51" s="1189"/>
      <c r="AZ51" s="1189"/>
      <c r="BA51" s="1189"/>
      <c r="BB51" s="1189"/>
      <c r="BC51" s="1189"/>
      <c r="BD51" s="1189"/>
      <c r="BE51" s="1193"/>
    </row>
    <row r="52" spans="1:77" ht="15.75" customHeight="1">
      <c r="A52" s="1189"/>
      <c r="B52" s="2176" t="s">
        <v>2406</v>
      </c>
      <c r="C52" s="2177"/>
      <c r="D52" s="2177"/>
      <c r="E52" s="2177"/>
      <c r="F52" s="2177"/>
      <c r="G52" s="2177"/>
      <c r="H52" s="2177"/>
      <c r="I52" s="2177"/>
      <c r="J52" s="2000">
        <v>0</v>
      </c>
      <c r="K52" s="2000"/>
      <c r="L52" s="2000"/>
      <c r="M52" s="2000"/>
      <c r="N52" s="2000"/>
      <c r="O52" s="2000"/>
      <c r="P52" s="2000"/>
      <c r="Q52" s="2000"/>
      <c r="R52" s="2207">
        <v>0</v>
      </c>
      <c r="S52" s="2207"/>
      <c r="T52" s="2207"/>
      <c r="U52" s="2207"/>
      <c r="V52" s="2207"/>
      <c r="W52" s="2207"/>
      <c r="X52" s="2207"/>
      <c r="Y52" s="2207"/>
      <c r="Z52" s="2208">
        <v>0</v>
      </c>
      <c r="AA52" s="2208"/>
      <c r="AB52" s="2208"/>
      <c r="AC52" s="2208"/>
      <c r="AD52" s="2208"/>
      <c r="AE52" s="2208"/>
      <c r="AF52" s="2208"/>
      <c r="AG52" s="2208"/>
      <c r="AH52" s="2209"/>
      <c r="AI52" s="2209"/>
      <c r="AJ52" s="2209"/>
      <c r="AK52" s="2209"/>
      <c r="AL52" s="2209"/>
      <c r="AM52" s="2209"/>
      <c r="AN52" s="2209"/>
      <c r="AO52" s="2210"/>
      <c r="AP52" s="1191"/>
      <c r="AQ52" s="1191"/>
      <c r="AR52" s="1191"/>
      <c r="AS52" s="1191"/>
      <c r="AT52" s="1191"/>
      <c r="AU52" s="1191"/>
      <c r="AV52" s="1191"/>
      <c r="AW52" s="1191"/>
      <c r="AX52" s="1194"/>
      <c r="AY52" s="1189"/>
      <c r="AZ52" s="1189"/>
      <c r="BA52" s="1189"/>
      <c r="BB52" s="1189"/>
      <c r="BC52" s="1189"/>
      <c r="BD52" s="1189"/>
      <c r="BE52" s="1193"/>
    </row>
    <row r="53" spans="1:77" ht="15.75" customHeight="1">
      <c r="A53" s="1189"/>
      <c r="B53" s="2176" t="s">
        <v>2405</v>
      </c>
      <c r="C53" s="2177"/>
      <c r="D53" s="2177"/>
      <c r="E53" s="2177"/>
      <c r="F53" s="2177"/>
      <c r="G53" s="2177"/>
      <c r="H53" s="2177"/>
      <c r="I53" s="2177"/>
      <c r="J53" s="2000">
        <v>0</v>
      </c>
      <c r="K53" s="2000"/>
      <c r="L53" s="2000"/>
      <c r="M53" s="2000"/>
      <c r="N53" s="2000"/>
      <c r="O53" s="2000"/>
      <c r="P53" s="2000"/>
      <c r="Q53" s="2000"/>
      <c r="R53" s="2207">
        <v>0</v>
      </c>
      <c r="S53" s="2207"/>
      <c r="T53" s="2207"/>
      <c r="U53" s="2207"/>
      <c r="V53" s="2207"/>
      <c r="W53" s="2207"/>
      <c r="X53" s="2207"/>
      <c r="Y53" s="2207"/>
      <c r="Z53" s="2208">
        <v>0</v>
      </c>
      <c r="AA53" s="2208"/>
      <c r="AB53" s="2208"/>
      <c r="AC53" s="2208"/>
      <c r="AD53" s="2208"/>
      <c r="AE53" s="2208"/>
      <c r="AF53" s="2208"/>
      <c r="AG53" s="2208"/>
      <c r="AH53" s="2209"/>
      <c r="AI53" s="2209"/>
      <c r="AJ53" s="2209"/>
      <c r="AK53" s="2209"/>
      <c r="AL53" s="2209"/>
      <c r="AM53" s="2209"/>
      <c r="AN53" s="2209"/>
      <c r="AO53" s="2210"/>
      <c r="AP53" s="1191"/>
      <c r="AQ53" s="1191"/>
      <c r="AR53" s="1191"/>
      <c r="AS53" s="1191"/>
      <c r="AT53" s="1191"/>
      <c r="AU53" s="1191"/>
      <c r="AV53" s="1191"/>
      <c r="AW53" s="1191"/>
      <c r="AX53" s="1189"/>
      <c r="AY53" s="1189"/>
      <c r="AZ53" s="1189"/>
      <c r="BA53" s="1189"/>
      <c r="BB53" s="1189"/>
      <c r="BC53" s="1189"/>
      <c r="BD53" s="1189"/>
      <c r="BE53" s="1193"/>
    </row>
    <row r="54" spans="1:77" ht="15.75" customHeight="1">
      <c r="A54" s="1189"/>
      <c r="B54" s="2176"/>
      <c r="C54" s="2177"/>
      <c r="D54" s="2177"/>
      <c r="E54" s="2177"/>
      <c r="F54" s="2177"/>
      <c r="G54" s="2177"/>
      <c r="H54" s="2177"/>
      <c r="I54" s="2177"/>
      <c r="J54" s="2000"/>
      <c r="K54" s="2000"/>
      <c r="L54" s="2000"/>
      <c r="M54" s="2000"/>
      <c r="N54" s="2000"/>
      <c r="O54" s="2000"/>
      <c r="P54" s="2000"/>
      <c r="Q54" s="2000"/>
      <c r="R54" s="2207"/>
      <c r="S54" s="2207"/>
      <c r="T54" s="2207"/>
      <c r="U54" s="2207"/>
      <c r="V54" s="2207"/>
      <c r="W54" s="2207"/>
      <c r="X54" s="2207"/>
      <c r="Y54" s="2207"/>
      <c r="Z54" s="2208"/>
      <c r="AA54" s="2208"/>
      <c r="AB54" s="2208"/>
      <c r="AC54" s="2208"/>
      <c r="AD54" s="2208"/>
      <c r="AE54" s="2208"/>
      <c r="AF54" s="2208"/>
      <c r="AG54" s="2208"/>
      <c r="AH54" s="2209"/>
      <c r="AI54" s="2209"/>
      <c r="AJ54" s="2209"/>
      <c r="AK54" s="2209"/>
      <c r="AL54" s="2209"/>
      <c r="AM54" s="2209"/>
      <c r="AN54" s="2209"/>
      <c r="AO54" s="2210"/>
      <c r="AP54" s="1191"/>
      <c r="AQ54" s="1191"/>
      <c r="AR54" s="1191"/>
      <c r="AS54" s="1191"/>
      <c r="AT54" s="1191"/>
      <c r="AU54" s="1191"/>
      <c r="AV54" s="1191"/>
      <c r="AW54" s="1191"/>
      <c r="AX54" s="1189"/>
      <c r="AY54" s="1189"/>
      <c r="AZ54" s="1189"/>
      <c r="BA54" s="1189"/>
      <c r="BB54" s="1189"/>
      <c r="BC54" s="1189"/>
      <c r="BD54" s="1189"/>
      <c r="BE54" s="1193"/>
    </row>
    <row r="55" spans="1:77" ht="15.75" customHeight="1">
      <c r="A55" s="1189"/>
      <c r="B55" s="2176"/>
      <c r="C55" s="2177"/>
      <c r="D55" s="2177"/>
      <c r="E55" s="2177"/>
      <c r="F55" s="2177"/>
      <c r="G55" s="2177"/>
      <c r="H55" s="2177"/>
      <c r="I55" s="2177"/>
      <c r="J55" s="2000"/>
      <c r="K55" s="2000"/>
      <c r="L55" s="2000"/>
      <c r="M55" s="2000"/>
      <c r="N55" s="2000"/>
      <c r="O55" s="2000"/>
      <c r="P55" s="2000"/>
      <c r="Q55" s="2000"/>
      <c r="R55" s="2207"/>
      <c r="S55" s="2207"/>
      <c r="T55" s="2207"/>
      <c r="U55" s="2207"/>
      <c r="V55" s="2207"/>
      <c r="W55" s="2207"/>
      <c r="X55" s="2207"/>
      <c r="Y55" s="2207"/>
      <c r="Z55" s="2208"/>
      <c r="AA55" s="2208"/>
      <c r="AB55" s="2208"/>
      <c r="AC55" s="2208"/>
      <c r="AD55" s="2208"/>
      <c r="AE55" s="2208"/>
      <c r="AF55" s="2208"/>
      <c r="AG55" s="2208"/>
      <c r="AH55" s="2209"/>
      <c r="AI55" s="2209"/>
      <c r="AJ55" s="2209"/>
      <c r="AK55" s="2209"/>
      <c r="AL55" s="2209"/>
      <c r="AM55" s="2209"/>
      <c r="AN55" s="2209"/>
      <c r="AO55" s="2210"/>
      <c r="AP55" s="1191"/>
      <c r="AQ55" s="1191"/>
      <c r="AR55" s="1191"/>
      <c r="AS55" s="1191"/>
      <c r="AT55" s="1191" t="s">
        <v>250</v>
      </c>
      <c r="AU55" s="1191"/>
      <c r="AV55" s="1191"/>
      <c r="AW55" s="1191"/>
      <c r="AX55" s="1189"/>
      <c r="AY55" s="1189"/>
      <c r="AZ55" s="1189"/>
      <c r="BA55" s="1189"/>
      <c r="BB55" s="1189"/>
      <c r="BC55" s="1189"/>
      <c r="BD55" s="1189"/>
      <c r="BE55" s="1193"/>
    </row>
    <row r="56" spans="1:77" ht="15.75" customHeight="1">
      <c r="A56" s="1189"/>
      <c r="B56" s="2176"/>
      <c r="C56" s="2177"/>
      <c r="D56" s="2177"/>
      <c r="E56" s="2177"/>
      <c r="F56" s="2177"/>
      <c r="G56" s="2177"/>
      <c r="H56" s="2177"/>
      <c r="I56" s="2177"/>
      <c r="J56" s="2000"/>
      <c r="K56" s="2000"/>
      <c r="L56" s="2000"/>
      <c r="M56" s="2000"/>
      <c r="N56" s="2000"/>
      <c r="O56" s="2000"/>
      <c r="P56" s="2000"/>
      <c r="Q56" s="2000"/>
      <c r="R56" s="2207"/>
      <c r="S56" s="2207"/>
      <c r="T56" s="2207"/>
      <c r="U56" s="2207"/>
      <c r="V56" s="2207"/>
      <c r="W56" s="2207"/>
      <c r="X56" s="2207"/>
      <c r="Y56" s="2207"/>
      <c r="Z56" s="2208"/>
      <c r="AA56" s="2208"/>
      <c r="AB56" s="2208"/>
      <c r="AC56" s="2208"/>
      <c r="AD56" s="2208"/>
      <c r="AE56" s="2208"/>
      <c r="AF56" s="2208"/>
      <c r="AG56" s="2208"/>
      <c r="AH56" s="2209"/>
      <c r="AI56" s="2209"/>
      <c r="AJ56" s="2209"/>
      <c r="AK56" s="2209"/>
      <c r="AL56" s="2209"/>
      <c r="AM56" s="2209"/>
      <c r="AN56" s="2209"/>
      <c r="AO56" s="2210"/>
      <c r="AP56" s="1191"/>
      <c r="AQ56" s="1191"/>
      <c r="AR56" s="1191"/>
      <c r="AS56" s="1191"/>
      <c r="AT56" s="1191"/>
      <c r="AU56" s="1191"/>
      <c r="AV56" s="1191"/>
      <c r="AW56" s="1191"/>
      <c r="AX56" s="1189"/>
      <c r="AY56" s="1189"/>
      <c r="AZ56" s="1189"/>
      <c r="BA56" s="1189"/>
      <c r="BB56" s="1189"/>
      <c r="BC56" s="1189"/>
      <c r="BD56" s="1189"/>
      <c r="BE56" s="1193"/>
    </row>
    <row r="57" spans="1:77" s="1197" customFormat="1" ht="15.75" customHeight="1" thickBot="1">
      <c r="A57" s="1191"/>
      <c r="B57" s="2144" t="s">
        <v>1587</v>
      </c>
      <c r="C57" s="2145"/>
      <c r="D57" s="2145"/>
      <c r="E57" s="2145"/>
      <c r="F57" s="2145"/>
      <c r="G57" s="2145"/>
      <c r="H57" s="2145"/>
      <c r="I57" s="2145"/>
      <c r="J57" s="2145"/>
      <c r="K57" s="2145"/>
      <c r="L57" s="2145"/>
      <c r="M57" s="2145"/>
      <c r="N57" s="2145"/>
      <c r="O57" s="2145"/>
      <c r="P57" s="2145"/>
      <c r="Q57" s="2145"/>
      <c r="R57" s="2211">
        <f>SUM(R52:Y56)</f>
        <v>0</v>
      </c>
      <c r="S57" s="2211"/>
      <c r="T57" s="2211"/>
      <c r="U57" s="2211"/>
      <c r="V57" s="2211"/>
      <c r="W57" s="2211"/>
      <c r="X57" s="2211"/>
      <c r="Y57" s="2211"/>
      <c r="Z57" s="2212">
        <f>SUM(Z52:AG56)</f>
        <v>0</v>
      </c>
      <c r="AA57" s="2212"/>
      <c r="AB57" s="2212"/>
      <c r="AC57" s="2212"/>
      <c r="AD57" s="2212"/>
      <c r="AE57" s="2212"/>
      <c r="AF57" s="2212"/>
      <c r="AG57" s="2212"/>
      <c r="AH57" s="2213"/>
      <c r="AI57" s="2213"/>
      <c r="AJ57" s="2213"/>
      <c r="AK57" s="2213"/>
      <c r="AL57" s="2213"/>
      <c r="AM57" s="2213"/>
      <c r="AN57" s="2213"/>
      <c r="AO57" s="2214"/>
      <c r="AP57" s="1191"/>
      <c r="AQ57" s="1191"/>
      <c r="AR57" s="1191"/>
      <c r="AS57" s="1191"/>
      <c r="AT57" s="1191"/>
      <c r="AU57" s="1191"/>
      <c r="AV57" s="1191"/>
      <c r="AW57" s="1191"/>
      <c r="AX57" s="1191"/>
      <c r="AY57" s="1191"/>
      <c r="AZ57" s="1191"/>
      <c r="BA57" s="1191"/>
      <c r="BB57" s="1191"/>
      <c r="BC57" s="1191"/>
      <c r="BD57" s="1191"/>
      <c r="BE57" s="1196"/>
      <c r="BN57" s="1256"/>
      <c r="BO57" s="1256"/>
      <c r="BP57" s="1256"/>
      <c r="BQ57" s="1256"/>
      <c r="BR57" s="1256"/>
      <c r="BS57" s="1256"/>
      <c r="BT57" s="1256"/>
      <c r="BU57" s="1256"/>
      <c r="BV57" s="1256"/>
      <c r="BW57" s="1256"/>
      <c r="BX57" s="1256"/>
      <c r="BY57" s="1256"/>
    </row>
    <row r="58" spans="1:77" ht="15.75" customHeight="1" thickBot="1">
      <c r="A58" s="1189"/>
      <c r="B58" s="1189"/>
      <c r="C58" s="1189"/>
      <c r="D58" s="1189"/>
      <c r="E58" s="1189"/>
      <c r="F58" s="1189"/>
      <c r="G58" s="1189"/>
      <c r="H58" s="1189"/>
      <c r="I58" s="1189"/>
      <c r="J58" s="1189"/>
      <c r="K58" s="1189"/>
      <c r="L58" s="1189"/>
      <c r="M58" s="1189"/>
      <c r="N58" s="1189"/>
      <c r="O58" s="1189"/>
      <c r="P58" s="1189"/>
      <c r="Q58" s="1189"/>
      <c r="R58" s="1189"/>
      <c r="S58" s="1189"/>
      <c r="T58" s="1189"/>
      <c r="U58" s="1189"/>
      <c r="V58" s="1189"/>
      <c r="W58" s="1189"/>
      <c r="X58" s="1189"/>
      <c r="Y58" s="1189"/>
      <c r="Z58" s="1189"/>
      <c r="AA58" s="1189"/>
      <c r="AB58" s="1189"/>
      <c r="AC58" s="1189"/>
      <c r="AD58" s="1189"/>
      <c r="AE58" s="1189"/>
      <c r="AF58" s="1189"/>
      <c r="AG58" s="1189"/>
      <c r="AH58" s="1189"/>
      <c r="AI58" s="1189"/>
      <c r="AJ58" s="1189"/>
      <c r="AK58" s="1189"/>
      <c r="AL58" s="1189"/>
      <c r="AM58" s="1189"/>
      <c r="AN58" s="1189"/>
      <c r="AO58" s="1189"/>
      <c r="AP58" s="1189"/>
      <c r="AQ58" s="1189"/>
      <c r="AR58" s="1189"/>
      <c r="AS58" s="1189"/>
      <c r="AT58" s="1189"/>
      <c r="AU58" s="1189"/>
      <c r="AV58" s="1189"/>
      <c r="AW58" s="1189"/>
      <c r="AX58" s="1189"/>
      <c r="AY58" s="1189"/>
      <c r="AZ58" s="1189"/>
      <c r="BA58" s="1189"/>
      <c r="BB58" s="1189"/>
      <c r="BC58" s="1189"/>
      <c r="BD58" s="1189"/>
      <c r="BE58" s="1193"/>
    </row>
    <row r="59" spans="1:77" ht="15.75" customHeight="1">
      <c r="A59" s="1189"/>
      <c r="B59" s="2204" t="s">
        <v>2404</v>
      </c>
      <c r="C59" s="2205"/>
      <c r="D59" s="2205"/>
      <c r="E59" s="2205"/>
      <c r="F59" s="2205"/>
      <c r="G59" s="2205"/>
      <c r="H59" s="2205"/>
      <c r="I59" s="2206"/>
      <c r="J59" s="2112" t="s">
        <v>2403</v>
      </c>
      <c r="K59" s="2112"/>
      <c r="L59" s="2112"/>
      <c r="M59" s="2112"/>
      <c r="N59" s="2112"/>
      <c r="O59" s="2112"/>
      <c r="P59" s="2112"/>
      <c r="Q59" s="2112"/>
      <c r="R59" s="2112"/>
      <c r="S59" s="2112"/>
      <c r="T59" s="2112"/>
      <c r="U59" s="2112"/>
      <c r="V59" s="2112"/>
      <c r="W59" s="2112"/>
      <c r="X59" s="2112"/>
      <c r="Y59" s="2112"/>
      <c r="Z59" s="2112"/>
      <c r="AA59" s="2112"/>
      <c r="AB59" s="2112"/>
      <c r="AC59" s="2112"/>
      <c r="AD59" s="2112"/>
      <c r="AE59" s="2112"/>
      <c r="AF59" s="2112"/>
      <c r="AG59" s="2112"/>
      <c r="AH59" s="2112"/>
      <c r="AI59" s="2112"/>
      <c r="AJ59" s="2112"/>
      <c r="AK59" s="2112"/>
      <c r="AL59" s="2112"/>
      <c r="AM59" s="2112"/>
      <c r="AN59" s="2112"/>
      <c r="AO59" s="2112"/>
      <c r="AP59" s="2112"/>
      <c r="AQ59" s="2112"/>
      <c r="AR59" s="2112"/>
      <c r="AS59" s="2112"/>
      <c r="AT59" s="2112"/>
      <c r="AU59" s="2112"/>
      <c r="AV59" s="2112"/>
      <c r="AW59" s="2113"/>
      <c r="AX59" s="1189"/>
      <c r="AY59" s="1189"/>
      <c r="AZ59" s="1189"/>
      <c r="BA59" s="1189"/>
      <c r="BB59" s="1189"/>
      <c r="BC59" s="1189"/>
      <c r="BD59" s="1189"/>
      <c r="BE59" s="1193"/>
    </row>
    <row r="60" spans="1:77" ht="15.75" customHeight="1">
      <c r="A60" s="1189"/>
      <c r="B60" s="2196" t="str">
        <f>IF(B52="", "", B52)</f>
        <v>Services Company 1</v>
      </c>
      <c r="C60" s="2197"/>
      <c r="D60" s="2197"/>
      <c r="E60" s="2197"/>
      <c r="F60" s="2197"/>
      <c r="G60" s="2197"/>
      <c r="H60" s="2197"/>
      <c r="I60" s="2198"/>
      <c r="J60" s="2199"/>
      <c r="K60" s="2003"/>
      <c r="L60" s="2003"/>
      <c r="M60" s="2003"/>
      <c r="N60" s="2003"/>
      <c r="O60" s="2003"/>
      <c r="P60" s="2003"/>
      <c r="Q60" s="2003"/>
      <c r="R60" s="2003"/>
      <c r="S60" s="2003"/>
      <c r="T60" s="2003"/>
      <c r="U60" s="2003"/>
      <c r="V60" s="2003"/>
      <c r="W60" s="2003"/>
      <c r="X60" s="2003"/>
      <c r="Y60" s="2003"/>
      <c r="Z60" s="2003"/>
      <c r="AA60" s="2003"/>
      <c r="AB60" s="2003"/>
      <c r="AC60" s="2003"/>
      <c r="AD60" s="2003"/>
      <c r="AE60" s="2003"/>
      <c r="AF60" s="2003"/>
      <c r="AG60" s="2003"/>
      <c r="AH60" s="2003"/>
      <c r="AI60" s="2003"/>
      <c r="AJ60" s="2003"/>
      <c r="AK60" s="2003"/>
      <c r="AL60" s="2003"/>
      <c r="AM60" s="2003"/>
      <c r="AN60" s="2003"/>
      <c r="AO60" s="2003"/>
      <c r="AP60" s="2003"/>
      <c r="AQ60" s="2003"/>
      <c r="AR60" s="2003"/>
      <c r="AS60" s="2003"/>
      <c r="AT60" s="2003"/>
      <c r="AU60" s="2003"/>
      <c r="AV60" s="2003"/>
      <c r="AW60" s="2004"/>
      <c r="AX60" s="1189"/>
      <c r="AY60" s="1189"/>
      <c r="AZ60" s="1189"/>
      <c r="BA60" s="1189"/>
      <c r="BB60" s="1189"/>
      <c r="BC60" s="1189"/>
      <c r="BD60" s="1189"/>
      <c r="BE60" s="1193"/>
    </row>
    <row r="61" spans="1:77" ht="15.75" customHeight="1">
      <c r="A61" s="1189"/>
      <c r="B61" s="2196" t="str">
        <f>IF(B53="", "", B53)</f>
        <v>Services Company 2</v>
      </c>
      <c r="C61" s="2197"/>
      <c r="D61" s="2197"/>
      <c r="E61" s="2197"/>
      <c r="F61" s="2197"/>
      <c r="G61" s="2197"/>
      <c r="H61" s="2197"/>
      <c r="I61" s="2198"/>
      <c r="J61" s="2199"/>
      <c r="K61" s="2003"/>
      <c r="L61" s="2003"/>
      <c r="M61" s="2003"/>
      <c r="N61" s="2003"/>
      <c r="O61" s="2003"/>
      <c r="P61" s="2003"/>
      <c r="Q61" s="2003"/>
      <c r="R61" s="2003"/>
      <c r="S61" s="2003"/>
      <c r="T61" s="2003"/>
      <c r="U61" s="2003"/>
      <c r="V61" s="2003"/>
      <c r="W61" s="2003"/>
      <c r="X61" s="2003"/>
      <c r="Y61" s="2003"/>
      <c r="Z61" s="2003"/>
      <c r="AA61" s="2003"/>
      <c r="AB61" s="2003"/>
      <c r="AC61" s="2003"/>
      <c r="AD61" s="2003"/>
      <c r="AE61" s="2003"/>
      <c r="AF61" s="2003"/>
      <c r="AG61" s="2003"/>
      <c r="AH61" s="2003"/>
      <c r="AI61" s="2003"/>
      <c r="AJ61" s="2003"/>
      <c r="AK61" s="2003"/>
      <c r="AL61" s="2003"/>
      <c r="AM61" s="2003"/>
      <c r="AN61" s="2003"/>
      <c r="AO61" s="2003"/>
      <c r="AP61" s="2003"/>
      <c r="AQ61" s="2003"/>
      <c r="AR61" s="2003"/>
      <c r="AS61" s="2003"/>
      <c r="AT61" s="2003"/>
      <c r="AU61" s="2003"/>
      <c r="AV61" s="2003"/>
      <c r="AW61" s="2004"/>
      <c r="AX61" s="1189"/>
      <c r="AY61" s="1189"/>
      <c r="AZ61" s="1189"/>
      <c r="BA61" s="1189"/>
      <c r="BB61" s="1189"/>
      <c r="BC61" s="1189"/>
      <c r="BD61" s="1189"/>
      <c r="BE61" s="1193"/>
    </row>
    <row r="62" spans="1:77" ht="15.75" customHeight="1">
      <c r="A62" s="1189"/>
      <c r="B62" s="2196" t="str">
        <f>IF(B54="", "", B54)</f>
        <v/>
      </c>
      <c r="C62" s="2197"/>
      <c r="D62" s="2197"/>
      <c r="E62" s="2197"/>
      <c r="F62" s="2197"/>
      <c r="G62" s="2197"/>
      <c r="H62" s="2197"/>
      <c r="I62" s="2198"/>
      <c r="J62" s="2199"/>
      <c r="K62" s="2003"/>
      <c r="L62" s="2003"/>
      <c r="M62" s="2003"/>
      <c r="N62" s="2003"/>
      <c r="O62" s="2003"/>
      <c r="P62" s="2003"/>
      <c r="Q62" s="2003"/>
      <c r="R62" s="2003"/>
      <c r="S62" s="2003"/>
      <c r="T62" s="2003"/>
      <c r="U62" s="2003"/>
      <c r="V62" s="2003"/>
      <c r="W62" s="2003"/>
      <c r="X62" s="2003"/>
      <c r="Y62" s="2003"/>
      <c r="Z62" s="2003"/>
      <c r="AA62" s="2003"/>
      <c r="AB62" s="2003"/>
      <c r="AC62" s="2003"/>
      <c r="AD62" s="2003"/>
      <c r="AE62" s="2003"/>
      <c r="AF62" s="2003"/>
      <c r="AG62" s="2003"/>
      <c r="AH62" s="2003"/>
      <c r="AI62" s="2003"/>
      <c r="AJ62" s="2003"/>
      <c r="AK62" s="2003"/>
      <c r="AL62" s="2003"/>
      <c r="AM62" s="2003"/>
      <c r="AN62" s="2003"/>
      <c r="AO62" s="2003"/>
      <c r="AP62" s="2003"/>
      <c r="AQ62" s="2003"/>
      <c r="AR62" s="2003"/>
      <c r="AS62" s="2003"/>
      <c r="AT62" s="2003"/>
      <c r="AU62" s="2003"/>
      <c r="AV62" s="2003"/>
      <c r="AW62" s="2004"/>
      <c r="AX62" s="1189"/>
      <c r="AY62" s="1189"/>
      <c r="AZ62" s="1189"/>
      <c r="BA62" s="1189"/>
      <c r="BB62" s="1189"/>
      <c r="BC62" s="1189"/>
      <c r="BD62" s="1189"/>
      <c r="BE62" s="1193"/>
    </row>
    <row r="63" spans="1:77" ht="15.75" customHeight="1">
      <c r="A63" s="1189"/>
      <c r="B63" s="2196" t="str">
        <f>IF(B55="", "", B55)</f>
        <v/>
      </c>
      <c r="C63" s="2197"/>
      <c r="D63" s="2197"/>
      <c r="E63" s="2197"/>
      <c r="F63" s="2197"/>
      <c r="G63" s="2197"/>
      <c r="H63" s="2197"/>
      <c r="I63" s="2198"/>
      <c r="J63" s="2199"/>
      <c r="K63" s="2003"/>
      <c r="L63" s="2003"/>
      <c r="M63" s="2003"/>
      <c r="N63" s="2003"/>
      <c r="O63" s="2003"/>
      <c r="P63" s="2003"/>
      <c r="Q63" s="2003"/>
      <c r="R63" s="2003"/>
      <c r="S63" s="2003"/>
      <c r="T63" s="2003"/>
      <c r="U63" s="2003"/>
      <c r="V63" s="2003"/>
      <c r="W63" s="2003"/>
      <c r="X63" s="2003"/>
      <c r="Y63" s="2003"/>
      <c r="Z63" s="2003"/>
      <c r="AA63" s="2003"/>
      <c r="AB63" s="2003"/>
      <c r="AC63" s="2003"/>
      <c r="AD63" s="2003"/>
      <c r="AE63" s="2003"/>
      <c r="AF63" s="2003"/>
      <c r="AG63" s="2003"/>
      <c r="AH63" s="2003"/>
      <c r="AI63" s="2003"/>
      <c r="AJ63" s="2003"/>
      <c r="AK63" s="2003"/>
      <c r="AL63" s="2003"/>
      <c r="AM63" s="2003"/>
      <c r="AN63" s="2003"/>
      <c r="AO63" s="2003"/>
      <c r="AP63" s="2003"/>
      <c r="AQ63" s="2003"/>
      <c r="AR63" s="2003"/>
      <c r="AS63" s="2003"/>
      <c r="AT63" s="2003"/>
      <c r="AU63" s="2003"/>
      <c r="AV63" s="2003"/>
      <c r="AW63" s="2004"/>
      <c r="AX63" s="1189"/>
      <c r="AY63" s="1189"/>
      <c r="AZ63" s="1189"/>
      <c r="BA63" s="1189"/>
      <c r="BB63" s="1189"/>
      <c r="BC63" s="1189"/>
      <c r="BD63" s="1189"/>
      <c r="BE63" s="1193"/>
    </row>
    <row r="64" spans="1:77" ht="15.75" customHeight="1" thickBot="1">
      <c r="A64" s="1189"/>
      <c r="B64" s="2200" t="str">
        <f>IF(B56="", "", B56)</f>
        <v/>
      </c>
      <c r="C64" s="2201"/>
      <c r="D64" s="2201"/>
      <c r="E64" s="2201"/>
      <c r="F64" s="2201"/>
      <c r="G64" s="2201"/>
      <c r="H64" s="2201"/>
      <c r="I64" s="2202"/>
      <c r="J64" s="2203"/>
      <c r="K64" s="2186"/>
      <c r="L64" s="2186"/>
      <c r="M64" s="2186"/>
      <c r="N64" s="2186"/>
      <c r="O64" s="2186"/>
      <c r="P64" s="2186"/>
      <c r="Q64" s="2186"/>
      <c r="R64" s="2186"/>
      <c r="S64" s="2186"/>
      <c r="T64" s="2186"/>
      <c r="U64" s="2186"/>
      <c r="V64" s="2186"/>
      <c r="W64" s="2186"/>
      <c r="X64" s="2186"/>
      <c r="Y64" s="2186"/>
      <c r="Z64" s="2186"/>
      <c r="AA64" s="2186"/>
      <c r="AB64" s="2186"/>
      <c r="AC64" s="2186"/>
      <c r="AD64" s="2186"/>
      <c r="AE64" s="2186"/>
      <c r="AF64" s="2186"/>
      <c r="AG64" s="2186"/>
      <c r="AH64" s="2186"/>
      <c r="AI64" s="2186"/>
      <c r="AJ64" s="2186"/>
      <c r="AK64" s="2186"/>
      <c r="AL64" s="2186"/>
      <c r="AM64" s="2186"/>
      <c r="AN64" s="2186"/>
      <c r="AO64" s="2186"/>
      <c r="AP64" s="2186"/>
      <c r="AQ64" s="2186"/>
      <c r="AR64" s="2186"/>
      <c r="AS64" s="2186"/>
      <c r="AT64" s="2186"/>
      <c r="AU64" s="2186"/>
      <c r="AV64" s="2186"/>
      <c r="AW64" s="2187"/>
      <c r="AX64" s="1189"/>
      <c r="AY64" s="1189"/>
      <c r="AZ64" s="1189"/>
      <c r="BA64" s="1189"/>
      <c r="BB64" s="1189"/>
      <c r="BC64" s="1189"/>
      <c r="BD64" s="1189"/>
      <c r="BE64" s="1193"/>
    </row>
    <row r="65" spans="1:94" ht="15.75" customHeight="1">
      <c r="A65" s="1189"/>
      <c r="B65" s="1189"/>
      <c r="C65" s="1189"/>
      <c r="D65" s="1189"/>
      <c r="E65" s="1189"/>
      <c r="F65" s="1189"/>
      <c r="G65" s="1189"/>
      <c r="H65" s="1189"/>
      <c r="I65" s="1189"/>
      <c r="J65" s="1189"/>
      <c r="K65" s="1189"/>
      <c r="L65" s="1189"/>
      <c r="M65" s="1189"/>
      <c r="N65" s="1189"/>
      <c r="O65" s="1189"/>
      <c r="P65" s="1189"/>
      <c r="Q65" s="1189"/>
      <c r="R65" s="1189"/>
      <c r="S65" s="1189"/>
      <c r="T65" s="1189"/>
      <c r="U65" s="1189"/>
      <c r="V65" s="1189"/>
      <c r="W65" s="1189"/>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189"/>
      <c r="AS65" s="1189"/>
      <c r="AT65" s="1189"/>
      <c r="AU65" s="1189"/>
      <c r="AV65" s="1189"/>
      <c r="AW65" s="1189"/>
      <c r="AX65" s="1189"/>
      <c r="AY65" s="1189"/>
      <c r="AZ65" s="1189"/>
      <c r="BA65" s="1189"/>
      <c r="BB65" s="1189"/>
      <c r="BC65" s="1189"/>
      <c r="BD65" s="1189"/>
      <c r="BE65" s="1193"/>
    </row>
    <row r="66" spans="1:94" ht="15.75" customHeight="1">
      <c r="A66" s="1189"/>
      <c r="B66" s="1197" t="s">
        <v>2402</v>
      </c>
      <c r="C66" s="1197"/>
      <c r="D66" s="1197"/>
      <c r="E66" s="1197"/>
      <c r="F66" s="1197"/>
      <c r="G66" s="1197"/>
      <c r="H66" s="1197"/>
      <c r="I66" s="1197"/>
      <c r="J66" s="1197"/>
      <c r="K66" s="1197"/>
      <c r="L66" s="1189"/>
      <c r="M66" s="1189"/>
      <c r="N66" s="1189"/>
      <c r="O66" s="1189"/>
      <c r="P66" s="1189"/>
      <c r="Q66" s="1189"/>
      <c r="R66" s="1189"/>
      <c r="S66" s="1189"/>
      <c r="T66" s="1189"/>
      <c r="U66" s="1189"/>
      <c r="V66" s="1189"/>
      <c r="W66" s="1189"/>
      <c r="X66" s="1189"/>
      <c r="Y66" s="1189"/>
      <c r="Z66" s="1189"/>
      <c r="AA66" s="1189"/>
      <c r="AB66" s="1189"/>
      <c r="AC66" s="1189"/>
      <c r="AD66" s="1189"/>
      <c r="AE66" s="1189"/>
      <c r="AF66" s="1189"/>
      <c r="AG66" s="1189"/>
      <c r="AH66" s="1189"/>
      <c r="AI66" s="1189"/>
      <c r="AJ66" s="1189"/>
      <c r="AK66" s="1189"/>
      <c r="AL66" s="1189"/>
      <c r="AM66" s="1189"/>
      <c r="AN66" s="1189"/>
      <c r="AO66" s="1189"/>
      <c r="AP66" s="1189"/>
      <c r="AQ66" s="1189"/>
      <c r="AR66" s="1189"/>
      <c r="AS66" s="1189"/>
      <c r="AT66" s="1189"/>
      <c r="AU66" s="1189"/>
      <c r="AV66" s="1189"/>
      <c r="AW66" s="1189"/>
      <c r="AX66" s="1189"/>
      <c r="AY66" s="1189"/>
      <c r="AZ66" s="1189"/>
      <c r="BA66" s="1189"/>
      <c r="BB66" s="1189"/>
      <c r="BC66" s="1189"/>
      <c r="BD66" s="1189"/>
      <c r="BE66" s="1193"/>
    </row>
    <row r="67" spans="1:94" ht="15.75" customHeight="1" thickBot="1">
      <c r="A67" s="1189"/>
      <c r="B67" s="1189"/>
      <c r="C67" s="1189"/>
      <c r="D67" s="1189"/>
      <c r="E67" s="1189"/>
      <c r="F67" s="1189"/>
      <c r="G67" s="1189"/>
      <c r="H67" s="1189"/>
      <c r="I67" s="1189"/>
      <c r="J67" s="1189"/>
      <c r="K67" s="1189"/>
      <c r="L67" s="1189"/>
      <c r="M67" s="1189"/>
      <c r="N67" s="1189"/>
      <c r="O67" s="1189"/>
      <c r="P67" s="1189"/>
      <c r="Q67" s="1189"/>
      <c r="R67" s="1189"/>
      <c r="S67" s="1189"/>
      <c r="T67" s="1189"/>
      <c r="U67" s="1189"/>
      <c r="V67" s="1189"/>
      <c r="W67" s="1189"/>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189"/>
      <c r="AS67" s="1189"/>
      <c r="AT67" s="1189"/>
      <c r="AU67" s="1189"/>
      <c r="AV67" s="1189"/>
      <c r="AW67" s="1189"/>
      <c r="AX67" s="1189"/>
      <c r="AY67" s="1189"/>
      <c r="AZ67" s="1189"/>
      <c r="BA67" s="1189"/>
      <c r="BB67" s="1189"/>
      <c r="BC67" s="1189"/>
      <c r="BD67" s="1189"/>
      <c r="BE67" s="1193"/>
    </row>
    <row r="68" spans="1:94" ht="15.75" customHeight="1" thickBot="1">
      <c r="A68" s="1189"/>
      <c r="B68" s="2111" t="s">
        <v>2401</v>
      </c>
      <c r="C68" s="2112"/>
      <c r="D68" s="2112"/>
      <c r="E68" s="2112"/>
      <c r="F68" s="2112"/>
      <c r="G68" s="2112"/>
      <c r="H68" s="2112"/>
      <c r="I68" s="2112"/>
      <c r="J68" s="2112"/>
      <c r="K68" s="2112"/>
      <c r="L68" s="2112"/>
      <c r="M68" s="2112"/>
      <c r="N68" s="2112"/>
      <c r="O68" s="2112"/>
      <c r="P68" s="2112"/>
      <c r="Q68" s="2112"/>
      <c r="R68" s="2112"/>
      <c r="S68" s="2112"/>
      <c r="T68" s="2112"/>
      <c r="U68" s="2112"/>
      <c r="V68" s="2112"/>
      <c r="W68" s="2112"/>
      <c r="X68" s="2112"/>
      <c r="Y68" s="2112"/>
      <c r="Z68" s="2112"/>
      <c r="AA68" s="2113"/>
      <c r="AB68" s="1189"/>
      <c r="AC68" s="2037" t="s">
        <v>2400</v>
      </c>
      <c r="AD68" s="2038"/>
      <c r="AE68" s="2038"/>
      <c r="AF68" s="2038"/>
      <c r="AG68" s="2038"/>
      <c r="AH68" s="2038"/>
      <c r="AI68" s="2038"/>
      <c r="AJ68" s="2038"/>
      <c r="AK68" s="2038"/>
      <c r="AL68" s="2038"/>
      <c r="AM68" s="2038"/>
      <c r="AN68" s="2038"/>
      <c r="AO68" s="2038"/>
      <c r="AP68" s="2038"/>
      <c r="AQ68" s="2038"/>
      <c r="AR68" s="2038"/>
      <c r="AS68" s="2038"/>
      <c r="AT68" s="2038"/>
      <c r="AU68" s="2038"/>
      <c r="AV68" s="2188" t="s">
        <v>670</v>
      </c>
      <c r="AW68" s="2094"/>
      <c r="AX68" s="2094"/>
      <c r="AY68" s="2094"/>
      <c r="AZ68" s="2094"/>
      <c r="BA68" s="2094"/>
      <c r="BB68" s="2094"/>
      <c r="BC68" s="2095"/>
      <c r="BD68" s="1189"/>
      <c r="BE68" s="1193"/>
      <c r="BM68" s="1198" t="s">
        <v>2399</v>
      </c>
    </row>
    <row r="69" spans="1:94" ht="15.75" customHeight="1" thickTop="1" thickBot="1">
      <c r="A69" s="1189"/>
      <c r="B69" s="2189" t="s">
        <v>2398</v>
      </c>
      <c r="C69" s="2190"/>
      <c r="D69" s="2190"/>
      <c r="E69" s="2190"/>
      <c r="F69" s="2190"/>
      <c r="G69" s="2190"/>
      <c r="H69" s="2190"/>
      <c r="I69" s="2190"/>
      <c r="J69" s="2190"/>
      <c r="K69" s="2190"/>
      <c r="L69" s="2190"/>
      <c r="M69" s="2190"/>
      <c r="N69" s="2190"/>
      <c r="O69" s="2191" t="s">
        <v>2397</v>
      </c>
      <c r="P69" s="2192"/>
      <c r="Q69" s="2192"/>
      <c r="R69" s="2192"/>
      <c r="S69" s="2192"/>
      <c r="T69" s="2192"/>
      <c r="U69" s="2192"/>
      <c r="V69" s="2192"/>
      <c r="W69" s="2192"/>
      <c r="X69" s="2192"/>
      <c r="Y69" s="2192"/>
      <c r="Z69" s="2192"/>
      <c r="AA69" s="2193"/>
      <c r="AB69" s="1189"/>
      <c r="AC69" s="2194" t="s">
        <v>2396</v>
      </c>
      <c r="AD69" s="2195"/>
      <c r="AE69" s="2195"/>
      <c r="AF69" s="2195"/>
      <c r="AG69" s="2195"/>
      <c r="AH69" s="2195"/>
      <c r="AI69" s="2195"/>
      <c r="AJ69" s="2195"/>
      <c r="AK69" s="2195"/>
      <c r="AL69" s="2195"/>
      <c r="AM69" s="2195"/>
      <c r="AN69" s="2195"/>
      <c r="AO69" s="2195"/>
      <c r="AP69" s="2195"/>
      <c r="AQ69" s="2195"/>
      <c r="AR69" s="2195"/>
      <c r="AS69" s="2195"/>
      <c r="AT69" s="2195"/>
      <c r="AU69" s="2195"/>
      <c r="AV69" s="2188" t="s">
        <v>670</v>
      </c>
      <c r="AW69" s="2094"/>
      <c r="AX69" s="2094"/>
      <c r="AY69" s="2094"/>
      <c r="AZ69" s="2094"/>
      <c r="BA69" s="2094"/>
      <c r="BB69" s="2094"/>
      <c r="BC69" s="2095"/>
      <c r="BD69" s="1189"/>
      <c r="BE69" s="1193"/>
      <c r="BM69" s="1199" t="s">
        <v>546</v>
      </c>
    </row>
    <row r="70" spans="1:94" ht="15.75" customHeight="1">
      <c r="A70" s="1189"/>
      <c r="B70" s="2171" t="s">
        <v>2395</v>
      </c>
      <c r="C70" s="2172"/>
      <c r="D70" s="2172"/>
      <c r="E70" s="2172"/>
      <c r="F70" s="2172"/>
      <c r="G70" s="2172"/>
      <c r="H70" s="2172"/>
      <c r="I70" s="2172"/>
      <c r="J70" s="2172"/>
      <c r="K70" s="2172"/>
      <c r="L70" s="2172"/>
      <c r="M70" s="2172"/>
      <c r="N70" s="2172"/>
      <c r="O70" s="2045">
        <v>0</v>
      </c>
      <c r="P70" s="2045"/>
      <c r="Q70" s="2045"/>
      <c r="R70" s="2045"/>
      <c r="S70" s="2045"/>
      <c r="T70" s="2045"/>
      <c r="U70" s="2045"/>
      <c r="V70" s="2045"/>
      <c r="W70" s="2045"/>
      <c r="X70" s="2045"/>
      <c r="Y70" s="2045"/>
      <c r="Z70" s="2045"/>
      <c r="AA70" s="2173"/>
      <c r="AB70" s="1189"/>
      <c r="AC70" s="2083" t="s">
        <v>2394</v>
      </c>
      <c r="AD70" s="2039"/>
      <c r="AE70" s="2039"/>
      <c r="AF70" s="2182"/>
      <c r="AG70" s="2182"/>
      <c r="AH70" s="2182"/>
      <c r="AI70" s="2182"/>
      <c r="AJ70" s="2182"/>
      <c r="AK70" s="2182"/>
      <c r="AL70" s="2182"/>
      <c r="AM70" s="2182"/>
      <c r="AN70" s="2182"/>
      <c r="AO70" s="2182"/>
      <c r="AP70" s="2182"/>
      <c r="AQ70" s="2182"/>
      <c r="AR70" s="2182"/>
      <c r="AS70" s="2182"/>
      <c r="AT70" s="2182"/>
      <c r="AU70" s="2183"/>
      <c r="AV70" s="1189"/>
      <c r="AW70" s="1189"/>
      <c r="AX70" s="1189"/>
      <c r="AY70" s="1189"/>
      <c r="AZ70" s="1189"/>
      <c r="BA70" s="1189"/>
      <c r="BB70" s="1189"/>
      <c r="BC70" s="1189"/>
      <c r="BD70" s="1189"/>
      <c r="BE70" s="1193"/>
      <c r="BM70" s="1200" t="s">
        <v>670</v>
      </c>
    </row>
    <row r="71" spans="1:94" ht="15.75" customHeight="1" thickBot="1">
      <c r="A71" s="1189"/>
      <c r="B71" s="2171" t="s">
        <v>2393</v>
      </c>
      <c r="C71" s="2172"/>
      <c r="D71" s="2172"/>
      <c r="E71" s="2172"/>
      <c r="F71" s="2172"/>
      <c r="G71" s="2172"/>
      <c r="H71" s="2172"/>
      <c r="I71" s="2172"/>
      <c r="J71" s="2172"/>
      <c r="K71" s="2172"/>
      <c r="L71" s="2172"/>
      <c r="M71" s="2172"/>
      <c r="N71" s="2172"/>
      <c r="O71" s="2045">
        <v>0</v>
      </c>
      <c r="P71" s="2045"/>
      <c r="Q71" s="2045"/>
      <c r="R71" s="2045"/>
      <c r="S71" s="2045"/>
      <c r="T71" s="2045"/>
      <c r="U71" s="2045"/>
      <c r="V71" s="2045"/>
      <c r="W71" s="2045"/>
      <c r="X71" s="2045"/>
      <c r="Y71" s="2045"/>
      <c r="Z71" s="2045"/>
      <c r="AA71" s="2173"/>
      <c r="AB71" s="1189"/>
      <c r="AC71" s="2184" t="s">
        <v>2392</v>
      </c>
      <c r="AD71" s="2185"/>
      <c r="AE71" s="2185"/>
      <c r="AF71" s="2186"/>
      <c r="AG71" s="2186"/>
      <c r="AH71" s="2186"/>
      <c r="AI71" s="2186"/>
      <c r="AJ71" s="2186"/>
      <c r="AK71" s="2186"/>
      <c r="AL71" s="2186"/>
      <c r="AM71" s="2186"/>
      <c r="AN71" s="2186"/>
      <c r="AO71" s="2186"/>
      <c r="AP71" s="2186"/>
      <c r="AQ71" s="2186"/>
      <c r="AR71" s="2186"/>
      <c r="AS71" s="2186"/>
      <c r="AT71" s="2186"/>
      <c r="AU71" s="2187"/>
      <c r="AV71" s="1189"/>
      <c r="AW71" s="1189"/>
      <c r="AX71" s="1189"/>
      <c r="AY71" s="1189"/>
      <c r="AZ71" s="1189"/>
      <c r="BA71" s="1189"/>
      <c r="BB71" s="1189"/>
      <c r="BC71" s="1189"/>
      <c r="BD71" s="1189"/>
      <c r="BE71" s="1193"/>
      <c r="BM71" s="1186" t="s">
        <v>2391</v>
      </c>
    </row>
    <row r="72" spans="1:94" ht="15.75" customHeight="1">
      <c r="A72" s="1189"/>
      <c r="B72" s="2171" t="s">
        <v>2390</v>
      </c>
      <c r="C72" s="2172"/>
      <c r="D72" s="2172"/>
      <c r="E72" s="2172"/>
      <c r="F72" s="2172"/>
      <c r="G72" s="2172"/>
      <c r="H72" s="2172"/>
      <c r="I72" s="2172"/>
      <c r="J72" s="2172"/>
      <c r="K72" s="2172"/>
      <c r="L72" s="2172"/>
      <c r="M72" s="2172"/>
      <c r="N72" s="2172"/>
      <c r="O72" s="2045">
        <v>0</v>
      </c>
      <c r="P72" s="2045"/>
      <c r="Q72" s="2045"/>
      <c r="R72" s="2045"/>
      <c r="S72" s="2045"/>
      <c r="T72" s="2045"/>
      <c r="U72" s="2045"/>
      <c r="V72" s="2045"/>
      <c r="W72" s="2045"/>
      <c r="X72" s="2045"/>
      <c r="Y72" s="2045"/>
      <c r="Z72" s="2045"/>
      <c r="AA72" s="2173"/>
      <c r="AB72" s="1189"/>
      <c r="AC72" s="2174" t="s">
        <v>2389</v>
      </c>
      <c r="AD72" s="2175"/>
      <c r="AE72" s="2175"/>
      <c r="AF72" s="2175"/>
      <c r="AG72" s="2175"/>
      <c r="AH72" s="2175"/>
      <c r="AI72" s="2175"/>
      <c r="AJ72" s="2175"/>
      <c r="AK72" s="2175"/>
      <c r="AL72" s="2175"/>
      <c r="AM72" s="2175"/>
      <c r="AN72" s="2175"/>
      <c r="AO72" s="2175"/>
      <c r="AP72" s="2175"/>
      <c r="AQ72" s="2175"/>
      <c r="AR72" s="2175"/>
      <c r="AS72" s="2175"/>
      <c r="AT72" s="2175"/>
      <c r="AU72" s="2175"/>
      <c r="AV72" s="2039"/>
      <c r="AW72" s="2039"/>
      <c r="AX72" s="2039"/>
      <c r="AY72" s="2039"/>
      <c r="AZ72" s="2039"/>
      <c r="BA72" s="2039"/>
      <c r="BB72" s="2039"/>
      <c r="BC72" s="2040"/>
      <c r="BD72" s="1189"/>
      <c r="BE72" s="1193"/>
    </row>
    <row r="73" spans="1:94" ht="15.75" customHeight="1">
      <c r="A73" s="1189"/>
      <c r="B73" s="2176" t="s">
        <v>2388</v>
      </c>
      <c r="C73" s="2177"/>
      <c r="D73" s="2177"/>
      <c r="E73" s="2177"/>
      <c r="F73" s="2177"/>
      <c r="G73" s="2177"/>
      <c r="H73" s="2177"/>
      <c r="I73" s="2177"/>
      <c r="J73" s="2177"/>
      <c r="K73" s="2177"/>
      <c r="L73" s="2177"/>
      <c r="M73" s="2177"/>
      <c r="N73" s="2177"/>
      <c r="O73" s="2045">
        <v>0</v>
      </c>
      <c r="P73" s="2045"/>
      <c r="Q73" s="2045"/>
      <c r="R73" s="2045"/>
      <c r="S73" s="2045"/>
      <c r="T73" s="2045"/>
      <c r="U73" s="2045"/>
      <c r="V73" s="2045"/>
      <c r="W73" s="2045"/>
      <c r="X73" s="2045"/>
      <c r="Y73" s="2045"/>
      <c r="Z73" s="2045"/>
      <c r="AA73" s="2173"/>
      <c r="AB73" s="1189"/>
      <c r="AC73" s="2054" t="s">
        <v>2333</v>
      </c>
      <c r="AD73" s="2055"/>
      <c r="AE73" s="2055"/>
      <c r="AF73" s="2055"/>
      <c r="AG73" s="2055"/>
      <c r="AH73" s="2055"/>
      <c r="AI73" s="2055"/>
      <c r="AJ73" s="2055"/>
      <c r="AK73" s="2055"/>
      <c r="AL73" s="2055"/>
      <c r="AM73" s="2055"/>
      <c r="AN73" s="2055"/>
      <c r="AO73" s="2055"/>
      <c r="AP73" s="2055"/>
      <c r="AQ73" s="2055"/>
      <c r="AR73" s="2055"/>
      <c r="AS73" s="2055"/>
      <c r="AT73" s="2055"/>
      <c r="AU73" s="2055"/>
      <c r="AV73" s="2055"/>
      <c r="AW73" s="2055"/>
      <c r="AX73" s="2055"/>
      <c r="AY73" s="2055"/>
      <c r="AZ73" s="2055"/>
      <c r="BA73" s="2055"/>
      <c r="BB73" s="2055"/>
      <c r="BC73" s="2056"/>
      <c r="BD73" s="1189"/>
      <c r="BE73" s="1193"/>
      <c r="CK73" s="1187"/>
      <c r="CL73" s="1187"/>
      <c r="CM73" s="1187"/>
      <c r="CN73" s="1187"/>
      <c r="CO73" s="1187"/>
      <c r="CP73" s="1187"/>
    </row>
    <row r="74" spans="1:94" ht="15.75" customHeight="1">
      <c r="A74" s="1189"/>
      <c r="B74" s="1999"/>
      <c r="C74" s="2000"/>
      <c r="D74" s="2000"/>
      <c r="E74" s="2000"/>
      <c r="F74" s="2000"/>
      <c r="G74" s="2000"/>
      <c r="H74" s="2000"/>
      <c r="I74" s="2000"/>
      <c r="J74" s="2000"/>
      <c r="K74" s="2000"/>
      <c r="L74" s="2000"/>
      <c r="M74" s="2000"/>
      <c r="N74" s="2000"/>
      <c r="O74" s="2045"/>
      <c r="P74" s="2045"/>
      <c r="Q74" s="2045"/>
      <c r="R74" s="2045"/>
      <c r="S74" s="2045"/>
      <c r="T74" s="2045"/>
      <c r="U74" s="2045"/>
      <c r="V74" s="2045"/>
      <c r="W74" s="2045"/>
      <c r="X74" s="2045"/>
      <c r="Y74" s="2045"/>
      <c r="Z74" s="2045"/>
      <c r="AA74" s="2173"/>
      <c r="AB74" s="1189"/>
      <c r="AC74" s="2054"/>
      <c r="AD74" s="2055"/>
      <c r="AE74" s="2055"/>
      <c r="AF74" s="2055"/>
      <c r="AG74" s="2055"/>
      <c r="AH74" s="2055"/>
      <c r="AI74" s="2055"/>
      <c r="AJ74" s="2055"/>
      <c r="AK74" s="2055"/>
      <c r="AL74" s="2055"/>
      <c r="AM74" s="2055"/>
      <c r="AN74" s="2055"/>
      <c r="AO74" s="2055"/>
      <c r="AP74" s="2055"/>
      <c r="AQ74" s="2055"/>
      <c r="AR74" s="2055"/>
      <c r="AS74" s="2055"/>
      <c r="AT74" s="2055"/>
      <c r="AU74" s="2055"/>
      <c r="AV74" s="2055"/>
      <c r="AW74" s="2055"/>
      <c r="AX74" s="2055"/>
      <c r="AY74" s="2055"/>
      <c r="AZ74" s="2055"/>
      <c r="BA74" s="2055"/>
      <c r="BB74" s="2055"/>
      <c r="BC74" s="2056"/>
      <c r="BD74" s="1189"/>
      <c r="BE74" s="1193"/>
      <c r="CK74" s="1187"/>
      <c r="CL74" s="1187"/>
      <c r="CM74" s="1187"/>
      <c r="CN74" s="1187"/>
      <c r="CO74" s="1187"/>
      <c r="CP74" s="1187"/>
    </row>
    <row r="75" spans="1:94" ht="15.75" customHeight="1" thickBot="1">
      <c r="A75" s="1189"/>
      <c r="B75" s="2178" t="s">
        <v>124</v>
      </c>
      <c r="C75" s="2179"/>
      <c r="D75" s="2179"/>
      <c r="E75" s="2179"/>
      <c r="F75" s="2179"/>
      <c r="G75" s="2179"/>
      <c r="H75" s="2179"/>
      <c r="I75" s="2179"/>
      <c r="J75" s="2179"/>
      <c r="K75" s="2179"/>
      <c r="L75" s="2179"/>
      <c r="M75" s="2179"/>
      <c r="N75" s="2179"/>
      <c r="O75" s="2180">
        <f>SUM(O70:AA74)</f>
        <v>0</v>
      </c>
      <c r="P75" s="2180"/>
      <c r="Q75" s="2180"/>
      <c r="R75" s="2180"/>
      <c r="S75" s="2180"/>
      <c r="T75" s="2180"/>
      <c r="U75" s="2180"/>
      <c r="V75" s="2180"/>
      <c r="W75" s="2180"/>
      <c r="X75" s="2180"/>
      <c r="Y75" s="2180"/>
      <c r="Z75" s="2180"/>
      <c r="AA75" s="2181"/>
      <c r="AB75" s="1189"/>
      <c r="AC75" s="2054"/>
      <c r="AD75" s="2055"/>
      <c r="AE75" s="2055"/>
      <c r="AF75" s="2055"/>
      <c r="AG75" s="2055"/>
      <c r="AH75" s="2055"/>
      <c r="AI75" s="2055"/>
      <c r="AJ75" s="2055"/>
      <c r="AK75" s="2055"/>
      <c r="AL75" s="2055"/>
      <c r="AM75" s="2055"/>
      <c r="AN75" s="2055"/>
      <c r="AO75" s="2055"/>
      <c r="AP75" s="2055"/>
      <c r="AQ75" s="2055"/>
      <c r="AR75" s="2055"/>
      <c r="AS75" s="2055"/>
      <c r="AT75" s="2055"/>
      <c r="AU75" s="2055"/>
      <c r="AV75" s="2055"/>
      <c r="AW75" s="2055"/>
      <c r="AX75" s="2055"/>
      <c r="AY75" s="2055"/>
      <c r="AZ75" s="2055"/>
      <c r="BA75" s="2055"/>
      <c r="BB75" s="2055"/>
      <c r="BC75" s="2056"/>
      <c r="BD75" s="1189"/>
      <c r="BE75" s="1193"/>
      <c r="CK75" s="1187"/>
      <c r="CL75" s="1187"/>
      <c r="CM75" s="1187"/>
      <c r="CN75" s="1187"/>
      <c r="CO75" s="1187"/>
      <c r="CP75" s="1187"/>
    </row>
    <row r="76" spans="1:94" ht="15.75" customHeight="1">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2054"/>
      <c r="AD76" s="2055"/>
      <c r="AE76" s="2055"/>
      <c r="AF76" s="2055"/>
      <c r="AG76" s="2055"/>
      <c r="AH76" s="2055"/>
      <c r="AI76" s="2055"/>
      <c r="AJ76" s="2055"/>
      <c r="AK76" s="2055"/>
      <c r="AL76" s="2055"/>
      <c r="AM76" s="2055"/>
      <c r="AN76" s="2055"/>
      <c r="AO76" s="2055"/>
      <c r="AP76" s="2055"/>
      <c r="AQ76" s="2055"/>
      <c r="AR76" s="2055"/>
      <c r="AS76" s="2055"/>
      <c r="AT76" s="2055"/>
      <c r="AU76" s="2055"/>
      <c r="AV76" s="2055"/>
      <c r="AW76" s="2055"/>
      <c r="AX76" s="2055"/>
      <c r="AY76" s="2055"/>
      <c r="AZ76" s="2055"/>
      <c r="BA76" s="2055"/>
      <c r="BB76" s="2055"/>
      <c r="BC76" s="2056"/>
      <c r="BD76" s="1189"/>
      <c r="BE76" s="1193"/>
      <c r="CK76" s="1187"/>
      <c r="CL76" s="1187"/>
      <c r="CM76" s="1187"/>
      <c r="CN76" s="1187"/>
      <c r="CO76" s="1187"/>
      <c r="CP76" s="1187"/>
    </row>
    <row r="77" spans="1:94" ht="15.75" customHeight="1" thickBot="1">
      <c r="A77" s="1189"/>
      <c r="B77" s="1189"/>
      <c r="C77" s="1189"/>
      <c r="D77" s="1189"/>
      <c r="E77" s="1189"/>
      <c r="F77" s="1189"/>
      <c r="G77" s="1189"/>
      <c r="H77" s="1189"/>
      <c r="I77" s="1189"/>
      <c r="J77" s="1189"/>
      <c r="K77" s="1189"/>
      <c r="L77" s="1189"/>
      <c r="M77" s="1189"/>
      <c r="N77" s="1189"/>
      <c r="O77" s="1189"/>
      <c r="P77" s="1189"/>
      <c r="Q77" s="1189"/>
      <c r="R77" s="1189"/>
      <c r="S77" s="1189"/>
      <c r="T77" s="1189"/>
      <c r="U77" s="1189"/>
      <c r="V77" s="1189"/>
      <c r="W77" s="1189"/>
      <c r="X77" s="1189"/>
      <c r="Y77" s="1189"/>
      <c r="Z77" s="1189"/>
      <c r="AA77" s="1189"/>
      <c r="AB77" s="1189"/>
      <c r="AC77" s="2057"/>
      <c r="AD77" s="2058"/>
      <c r="AE77" s="2058"/>
      <c r="AF77" s="2058"/>
      <c r="AG77" s="2058"/>
      <c r="AH77" s="2058"/>
      <c r="AI77" s="2058"/>
      <c r="AJ77" s="2058"/>
      <c r="AK77" s="2058"/>
      <c r="AL77" s="2058"/>
      <c r="AM77" s="2058"/>
      <c r="AN77" s="2058"/>
      <c r="AO77" s="2058"/>
      <c r="AP77" s="2058"/>
      <c r="AQ77" s="2058"/>
      <c r="AR77" s="2058"/>
      <c r="AS77" s="2058"/>
      <c r="AT77" s="2058"/>
      <c r="AU77" s="2058"/>
      <c r="AV77" s="2058"/>
      <c r="AW77" s="2058"/>
      <c r="AX77" s="2058"/>
      <c r="AY77" s="2058"/>
      <c r="AZ77" s="2058"/>
      <c r="BA77" s="2058"/>
      <c r="BB77" s="2058"/>
      <c r="BC77" s="2059"/>
      <c r="BD77" s="1189"/>
      <c r="BE77" s="1193"/>
      <c r="CK77" s="1187"/>
      <c r="CL77" s="1187"/>
      <c r="CM77" s="1187"/>
      <c r="CN77" s="1187"/>
      <c r="CO77" s="1187"/>
      <c r="CP77" s="1187"/>
    </row>
    <row r="78" spans="1:94" ht="15.75" customHeight="1" thickBot="1">
      <c r="A78" s="1189"/>
      <c r="B78" s="1201" t="s">
        <v>2387</v>
      </c>
      <c r="C78" s="1202"/>
      <c r="D78" s="1203"/>
      <c r="E78" s="1203"/>
      <c r="F78" s="1203"/>
      <c r="G78" s="1203"/>
      <c r="H78" s="1203"/>
      <c r="I78" s="1203"/>
      <c r="J78" s="1203"/>
      <c r="K78" s="1203"/>
      <c r="L78" s="1203"/>
      <c r="M78" s="1203"/>
      <c r="N78" s="1203"/>
      <c r="O78" s="1203"/>
      <c r="P78" s="1203"/>
      <c r="Q78" s="1203"/>
      <c r="R78" s="1203"/>
      <c r="S78" s="1203"/>
      <c r="T78" s="1204"/>
      <c r="U78" s="1189"/>
      <c r="V78" s="1189"/>
      <c r="W78" s="1189"/>
      <c r="X78" s="1189"/>
      <c r="Y78" s="1189"/>
      <c r="Z78" s="1189"/>
      <c r="AA78" s="1189"/>
      <c r="AB78" s="1189"/>
      <c r="AC78" s="1189"/>
      <c r="AD78" s="1189"/>
      <c r="AE78" s="1189"/>
      <c r="AF78" s="1189"/>
      <c r="AG78" s="1189"/>
      <c r="AH78" s="1189"/>
      <c r="AI78" s="1189"/>
      <c r="AJ78" s="1189"/>
      <c r="AK78" s="1189"/>
      <c r="AL78" s="1189"/>
      <c r="AM78" s="1189"/>
      <c r="AN78" s="1189"/>
      <c r="AO78" s="1189"/>
      <c r="AP78" s="1189"/>
      <c r="AQ78" s="1189"/>
      <c r="AR78" s="1189"/>
      <c r="AS78" s="1189"/>
      <c r="AT78" s="1189"/>
      <c r="AU78" s="1189"/>
      <c r="AV78" s="1189"/>
      <c r="AW78" s="1189"/>
      <c r="AX78" s="1189"/>
      <c r="AY78" s="1189"/>
      <c r="AZ78" s="1189"/>
      <c r="BA78" s="1189"/>
      <c r="BB78" s="1189"/>
      <c r="BC78" s="1189"/>
      <c r="BD78" s="1189"/>
      <c r="BE78" s="1193"/>
      <c r="CK78" s="1187"/>
      <c r="CL78" s="1187"/>
      <c r="CM78" s="1187"/>
      <c r="CN78" s="1187"/>
      <c r="CO78" s="1187"/>
      <c r="CP78" s="1187"/>
    </row>
    <row r="79" spans="1:94" ht="15.75" customHeight="1">
      <c r="A79" s="1189"/>
      <c r="B79" s="1201" t="s">
        <v>2286</v>
      </c>
      <c r="C79" s="1205"/>
      <c r="D79" s="1205"/>
      <c r="E79" s="1206"/>
      <c r="F79" s="2156"/>
      <c r="G79" s="2157"/>
      <c r="H79" s="2157"/>
      <c r="I79" s="2157"/>
      <c r="J79" s="2157"/>
      <c r="K79" s="2157"/>
      <c r="L79" s="2157"/>
      <c r="M79" s="2157"/>
      <c r="N79" s="2157"/>
      <c r="O79" s="2157"/>
      <c r="P79" s="2157"/>
      <c r="Q79" s="2157"/>
      <c r="R79" s="2157"/>
      <c r="S79" s="2157"/>
      <c r="T79" s="2158"/>
      <c r="U79" s="1189"/>
      <c r="V79" s="1189"/>
      <c r="W79" s="1189"/>
      <c r="X79" s="1189"/>
      <c r="Y79" s="1189"/>
      <c r="Z79" s="1189"/>
      <c r="AA79" s="1189"/>
      <c r="AB79" s="1189"/>
      <c r="AC79" s="1189"/>
      <c r="AD79" s="1189"/>
      <c r="AE79" s="1189"/>
      <c r="AF79" s="1189"/>
      <c r="AG79" s="1189"/>
      <c r="AH79" s="1189"/>
      <c r="AI79" s="1189"/>
      <c r="AJ79" s="1189"/>
      <c r="AK79" s="1189"/>
      <c r="AL79" s="1189"/>
      <c r="AM79" s="1189"/>
      <c r="AN79" s="1189"/>
      <c r="AO79" s="1189"/>
      <c r="AP79" s="1189"/>
      <c r="AQ79" s="1189"/>
      <c r="AR79" s="1189"/>
      <c r="AS79" s="1189"/>
      <c r="AT79" s="1189"/>
      <c r="AU79" s="1189"/>
      <c r="AV79" s="1189"/>
      <c r="AW79" s="1189"/>
      <c r="AX79" s="1189"/>
      <c r="AY79" s="1189"/>
      <c r="AZ79" s="1189"/>
      <c r="BA79" s="1189"/>
      <c r="BB79" s="1189"/>
      <c r="BC79" s="1189"/>
      <c r="BD79" s="1189"/>
      <c r="BE79" s="1193"/>
      <c r="CK79" s="1187"/>
      <c r="CL79" s="1187"/>
      <c r="CM79" s="1187"/>
      <c r="CN79" s="1187"/>
      <c r="CO79" s="1187"/>
      <c r="CP79" s="1187"/>
    </row>
    <row r="80" spans="1:94" ht="15.75" customHeight="1" thickBot="1">
      <c r="A80" s="1189"/>
      <c r="B80" s="2159" t="s">
        <v>2386</v>
      </c>
      <c r="C80" s="2160"/>
      <c r="D80" s="2160"/>
      <c r="E80" s="2160"/>
      <c r="F80" s="2160"/>
      <c r="G80" s="2160"/>
      <c r="H80" s="2160"/>
      <c r="I80" s="2160"/>
      <c r="J80" s="2160"/>
      <c r="K80" s="2160"/>
      <c r="L80" s="2160"/>
      <c r="M80" s="2160"/>
      <c r="N80" s="2160"/>
      <c r="O80" s="2160"/>
      <c r="P80" s="2160"/>
      <c r="Q80" s="2160"/>
      <c r="R80" s="2162" t="str">
        <f>IFERROR(INDEX(BR96:BR98,MATCH(F79,$BQ$96:$BQ$98,0))/SUM($BR$96:$BR$98),"")</f>
        <v/>
      </c>
      <c r="S80" s="2163"/>
      <c r="T80" s="2164"/>
      <c r="U80" s="1189"/>
      <c r="V80" s="1189"/>
      <c r="W80" s="1189"/>
      <c r="X80" s="1189"/>
      <c r="Y80" s="1189"/>
      <c r="Z80" s="1189"/>
      <c r="AA80" s="1189"/>
      <c r="AB80" s="1189"/>
      <c r="AC80" s="1189"/>
      <c r="AD80" s="1189"/>
      <c r="AE80" s="1189"/>
      <c r="AF80" s="1189"/>
      <c r="AG80" s="1189"/>
      <c r="AH80" s="1189"/>
      <c r="AI80" s="1189"/>
      <c r="AJ80" s="1189"/>
      <c r="AK80" s="1189"/>
      <c r="AL80" s="1189"/>
      <c r="AM80" s="1189"/>
      <c r="AN80" s="1189"/>
      <c r="AO80" s="1189"/>
      <c r="AP80" s="1189"/>
      <c r="AQ80" s="1189"/>
      <c r="AR80" s="1189"/>
      <c r="AS80" s="1189"/>
      <c r="AT80" s="1189"/>
      <c r="AU80" s="1189"/>
      <c r="AV80" s="1189"/>
      <c r="AW80" s="1189"/>
      <c r="AX80" s="1189"/>
      <c r="AY80" s="1189"/>
      <c r="AZ80" s="1189"/>
      <c r="BA80" s="1189"/>
      <c r="BB80" s="1189"/>
      <c r="BC80" s="1189"/>
      <c r="BD80" s="1189"/>
      <c r="BE80" s="1193"/>
      <c r="CK80" s="1187"/>
      <c r="CL80" s="1187"/>
      <c r="CM80" s="1187"/>
      <c r="CN80" s="1187"/>
      <c r="CO80" s="1187"/>
      <c r="CP80" s="1187"/>
    </row>
    <row r="81" spans="1:94" ht="15.75" customHeight="1" thickBot="1">
      <c r="A81" s="1189"/>
      <c r="B81" s="2165" t="s">
        <v>2385</v>
      </c>
      <c r="C81" s="2166"/>
      <c r="D81" s="2166"/>
      <c r="E81" s="2166"/>
      <c r="F81" s="2166"/>
      <c r="G81" s="2166"/>
      <c r="H81" s="2166"/>
      <c r="I81" s="2166"/>
      <c r="J81" s="2166"/>
      <c r="K81" s="2166"/>
      <c r="L81" s="2166"/>
      <c r="M81" s="2166"/>
      <c r="N81" s="2166"/>
      <c r="O81" s="2166"/>
      <c r="P81" s="2166"/>
      <c r="Q81" s="2166"/>
      <c r="R81" s="2147" t="s">
        <v>2190</v>
      </c>
      <c r="S81" s="2148"/>
      <c r="T81" s="2149"/>
      <c r="U81" s="1189"/>
      <c r="V81" s="1189"/>
      <c r="W81" s="1189"/>
      <c r="X81" s="1189"/>
      <c r="Y81" s="1189"/>
      <c r="Z81" s="1189"/>
      <c r="AA81" s="1189"/>
      <c r="AB81" s="1189"/>
      <c r="AC81" s="1189"/>
      <c r="AD81" s="1189"/>
      <c r="AE81" s="1189"/>
      <c r="AF81" s="1189"/>
      <c r="AG81" s="1189"/>
      <c r="AH81" s="1189"/>
      <c r="AI81" s="1189"/>
      <c r="AJ81" s="1189"/>
      <c r="AK81" s="1189"/>
      <c r="AL81" s="1189"/>
      <c r="AM81" s="1189"/>
      <c r="AN81" s="1189"/>
      <c r="AO81" s="1189"/>
      <c r="AP81" s="1189"/>
      <c r="AQ81" s="1189"/>
      <c r="AR81" s="1189"/>
      <c r="AS81" s="1189"/>
      <c r="AT81" s="1189"/>
      <c r="AU81" s="1189"/>
      <c r="AV81" s="1189"/>
      <c r="AW81" s="1189"/>
      <c r="AX81" s="1189"/>
      <c r="AY81" s="1189"/>
      <c r="AZ81" s="1189"/>
      <c r="BA81" s="1189"/>
      <c r="BB81" s="1189"/>
      <c r="BC81" s="1189"/>
      <c r="BD81" s="1189"/>
      <c r="BE81" s="1193"/>
      <c r="CK81" s="1187"/>
      <c r="CL81" s="1187"/>
      <c r="CM81" s="1187"/>
      <c r="CN81" s="1187"/>
      <c r="CO81" s="1187"/>
      <c r="CP81" s="1187"/>
    </row>
    <row r="82" spans="1:94" ht="15.75" customHeight="1" thickBot="1">
      <c r="A82" s="1189"/>
      <c r="B82" s="1189"/>
      <c r="C82" s="1189"/>
      <c r="D82" s="1189"/>
      <c r="E82" s="1189"/>
      <c r="F82" s="1189"/>
      <c r="G82" s="1189"/>
      <c r="H82" s="1189"/>
      <c r="I82" s="1189"/>
      <c r="J82" s="1189"/>
      <c r="K82" s="1189"/>
      <c r="L82" s="1189"/>
      <c r="M82" s="1189"/>
      <c r="N82" s="1189"/>
      <c r="O82" s="1189"/>
      <c r="P82" s="1189"/>
      <c r="Q82" s="1189"/>
      <c r="R82" s="1189"/>
      <c r="S82" s="1189"/>
      <c r="T82" s="1189"/>
      <c r="U82" s="1189"/>
      <c r="V82" s="1189"/>
      <c r="W82" s="1189"/>
      <c r="X82" s="1189"/>
      <c r="Y82" s="1189"/>
      <c r="Z82" s="1189"/>
      <c r="AA82" s="1189"/>
      <c r="AB82" s="1189"/>
      <c r="AC82" s="1189"/>
      <c r="AD82" s="1189"/>
      <c r="AE82" s="1189"/>
      <c r="AF82" s="1189"/>
      <c r="AG82" s="1189"/>
      <c r="AH82" s="1189"/>
      <c r="AI82" s="1189"/>
      <c r="AJ82" s="1189"/>
      <c r="AK82" s="1189"/>
      <c r="AL82" s="1189"/>
      <c r="AM82" s="1189"/>
      <c r="AN82" s="1189"/>
      <c r="AO82" s="1189"/>
      <c r="AP82" s="1189"/>
      <c r="AQ82" s="1189"/>
      <c r="AR82" s="1189"/>
      <c r="AS82" s="1189"/>
      <c r="AT82" s="1189"/>
      <c r="AU82" s="1189"/>
      <c r="AV82" s="1189"/>
      <c r="AW82" s="1189"/>
      <c r="AX82" s="1189"/>
      <c r="AY82" s="1189"/>
      <c r="AZ82" s="1189"/>
      <c r="BA82" s="1189"/>
      <c r="BB82" s="1189"/>
      <c r="BC82" s="1189"/>
      <c r="BD82" s="1189"/>
      <c r="BE82" s="1193"/>
      <c r="CK82" s="1187"/>
      <c r="CL82" s="1187"/>
      <c r="CM82" s="1187"/>
      <c r="CN82" s="1187"/>
      <c r="CO82" s="1187"/>
      <c r="CP82" s="1187"/>
    </row>
    <row r="83" spans="1:94" ht="15.75" customHeight="1">
      <c r="A83" s="1189"/>
      <c r="B83" s="2168" t="s">
        <v>2384</v>
      </c>
      <c r="C83" s="2169"/>
      <c r="D83" s="2169"/>
      <c r="E83" s="2169"/>
      <c r="F83" s="2169"/>
      <c r="G83" s="2169"/>
      <c r="H83" s="2169"/>
      <c r="I83" s="2169"/>
      <c r="J83" s="2169"/>
      <c r="K83" s="2169"/>
      <c r="L83" s="2169"/>
      <c r="M83" s="2169"/>
      <c r="N83" s="2169"/>
      <c r="O83" s="2169"/>
      <c r="P83" s="2169"/>
      <c r="Q83" s="2169"/>
      <c r="R83" s="2169"/>
      <c r="S83" s="2169"/>
      <c r="T83" s="2169"/>
      <c r="U83" s="2169"/>
      <c r="V83" s="2169"/>
      <c r="W83" s="2169"/>
      <c r="X83" s="2169"/>
      <c r="Y83" s="2169"/>
      <c r="Z83" s="2169"/>
      <c r="AA83" s="2169"/>
      <c r="AB83" s="2169"/>
      <c r="AC83" s="2169"/>
      <c r="AD83" s="2169"/>
      <c r="AE83" s="2169"/>
      <c r="AF83" s="2169"/>
      <c r="AG83" s="2169"/>
      <c r="AH83" s="2170"/>
      <c r="AI83" s="1189"/>
      <c r="AJ83" s="2135" t="s">
        <v>2383</v>
      </c>
      <c r="AK83" s="2136"/>
      <c r="AL83" s="2136"/>
      <c r="AM83" s="2136"/>
      <c r="AN83" s="2136"/>
      <c r="AO83" s="2136"/>
      <c r="AP83" s="2136"/>
      <c r="AQ83" s="2136"/>
      <c r="AR83" s="2136"/>
      <c r="AS83" s="2136"/>
      <c r="AT83" s="2136"/>
      <c r="AU83" s="2136"/>
      <c r="AV83" s="2136"/>
      <c r="AW83" s="2136"/>
      <c r="AX83" s="2136"/>
      <c r="AY83" s="2152" t="s">
        <v>546</v>
      </c>
      <c r="AZ83" s="2152"/>
      <c r="BA83" s="2152"/>
      <c r="BB83" s="2153"/>
      <c r="BC83" s="1189"/>
      <c r="BD83" s="1189"/>
      <c r="BE83" s="1193"/>
      <c r="CK83" s="1187"/>
      <c r="CL83" s="1187"/>
      <c r="CM83" s="1187"/>
      <c r="CN83" s="1187"/>
      <c r="CO83" s="1187"/>
      <c r="CP83" s="1187"/>
    </row>
    <row r="84" spans="1:94" ht="15.75" customHeight="1">
      <c r="A84" s="1189"/>
      <c r="B84" s="2146"/>
      <c r="C84" s="2114"/>
      <c r="D84" s="2114"/>
      <c r="E84" s="2114"/>
      <c r="F84" s="2114"/>
      <c r="G84" s="2114"/>
      <c r="H84" s="2114"/>
      <c r="I84" s="2114" t="s">
        <v>2373</v>
      </c>
      <c r="J84" s="2114"/>
      <c r="K84" s="2114"/>
      <c r="L84" s="2114"/>
      <c r="M84" s="2114"/>
      <c r="N84" s="2114"/>
      <c r="O84" s="2114" t="s">
        <v>2349</v>
      </c>
      <c r="P84" s="2114"/>
      <c r="Q84" s="2114"/>
      <c r="R84" s="2114"/>
      <c r="S84" s="2114"/>
      <c r="T84" s="2114"/>
      <c r="U84" s="2114"/>
      <c r="V84" s="2150" t="s">
        <v>2348</v>
      </c>
      <c r="W84" s="2150"/>
      <c r="X84" s="2150"/>
      <c r="Y84" s="2150"/>
      <c r="Z84" s="2150"/>
      <c r="AA84" s="2150"/>
      <c r="AB84" s="2084" t="s">
        <v>2372</v>
      </c>
      <c r="AC84" s="2084"/>
      <c r="AD84" s="2084"/>
      <c r="AE84" s="2084"/>
      <c r="AF84" s="2084"/>
      <c r="AG84" s="2084"/>
      <c r="AH84" s="2151"/>
      <c r="AI84" s="1189"/>
      <c r="AJ84" s="2138"/>
      <c r="AK84" s="2139"/>
      <c r="AL84" s="2139"/>
      <c r="AM84" s="2139"/>
      <c r="AN84" s="2139"/>
      <c r="AO84" s="2139"/>
      <c r="AP84" s="2139"/>
      <c r="AQ84" s="2139"/>
      <c r="AR84" s="2139"/>
      <c r="AS84" s="2139"/>
      <c r="AT84" s="2139"/>
      <c r="AU84" s="2139"/>
      <c r="AV84" s="2139"/>
      <c r="AW84" s="2139"/>
      <c r="AX84" s="2139"/>
      <c r="AY84" s="2154"/>
      <c r="AZ84" s="2154"/>
      <c r="BA84" s="2154"/>
      <c r="BB84" s="2155"/>
      <c r="BC84" s="1189"/>
      <c r="BD84" s="1189"/>
      <c r="BE84" s="1193"/>
      <c r="CK84" s="1187"/>
      <c r="CL84" s="1187"/>
      <c r="CM84" s="1187"/>
      <c r="CN84" s="1187"/>
      <c r="CO84" s="1187"/>
      <c r="CP84" s="1187"/>
    </row>
    <row r="85" spans="1:94" ht="15.75" customHeight="1">
      <c r="A85" s="1189"/>
      <c r="B85" s="2146"/>
      <c r="C85" s="2114"/>
      <c r="D85" s="2114"/>
      <c r="E85" s="2114"/>
      <c r="F85" s="2114"/>
      <c r="G85" s="2114"/>
      <c r="H85" s="2114"/>
      <c r="I85" s="2114"/>
      <c r="J85" s="2114"/>
      <c r="K85" s="2114"/>
      <c r="L85" s="2114"/>
      <c r="M85" s="2114"/>
      <c r="N85" s="2114"/>
      <c r="O85" s="2114"/>
      <c r="P85" s="2114"/>
      <c r="Q85" s="2114"/>
      <c r="R85" s="2114"/>
      <c r="S85" s="2114"/>
      <c r="T85" s="2114"/>
      <c r="U85" s="2114"/>
      <c r="V85" s="2150"/>
      <c r="W85" s="2150"/>
      <c r="X85" s="2150"/>
      <c r="Y85" s="2150"/>
      <c r="Z85" s="2150"/>
      <c r="AA85" s="2150"/>
      <c r="AB85" s="2084"/>
      <c r="AC85" s="2084"/>
      <c r="AD85" s="2084"/>
      <c r="AE85" s="2084"/>
      <c r="AF85" s="2084"/>
      <c r="AG85" s="2084"/>
      <c r="AH85" s="2151"/>
      <c r="AI85" s="1189"/>
      <c r="AJ85" s="2138"/>
      <c r="AK85" s="2139"/>
      <c r="AL85" s="2139"/>
      <c r="AM85" s="2139"/>
      <c r="AN85" s="2139"/>
      <c r="AO85" s="2139"/>
      <c r="AP85" s="2139"/>
      <c r="AQ85" s="2139"/>
      <c r="AR85" s="2139"/>
      <c r="AS85" s="2139"/>
      <c r="AT85" s="2139"/>
      <c r="AU85" s="2139"/>
      <c r="AV85" s="2139"/>
      <c r="AW85" s="2139"/>
      <c r="AX85" s="2139"/>
      <c r="AY85" s="2154"/>
      <c r="AZ85" s="2154"/>
      <c r="BA85" s="2154"/>
      <c r="BB85" s="2155"/>
      <c r="BC85" s="1189"/>
      <c r="BD85" s="1189"/>
      <c r="BE85" s="1193"/>
      <c r="CK85" s="1187"/>
      <c r="CL85" s="1187"/>
      <c r="CM85" s="1187"/>
      <c r="CN85" s="1187"/>
      <c r="CO85" s="1187"/>
      <c r="CP85" s="1187"/>
    </row>
    <row r="86" spans="1:94" ht="15.75" customHeight="1">
      <c r="A86" s="1189"/>
      <c r="B86" s="2146" t="s">
        <v>2371</v>
      </c>
      <c r="C86" s="2114"/>
      <c r="D86" s="2114"/>
      <c r="E86" s="2114"/>
      <c r="F86" s="2114"/>
      <c r="G86" s="2114"/>
      <c r="H86" s="2114"/>
      <c r="I86" s="2087">
        <v>0</v>
      </c>
      <c r="J86" s="2087"/>
      <c r="K86" s="2087"/>
      <c r="L86" s="2087"/>
      <c r="M86" s="2087"/>
      <c r="N86" s="2087"/>
      <c r="O86" s="2087">
        <v>0</v>
      </c>
      <c r="P86" s="2087"/>
      <c r="Q86" s="2087"/>
      <c r="R86" s="2087"/>
      <c r="S86" s="2087"/>
      <c r="T86" s="2087"/>
      <c r="U86" s="2087"/>
      <c r="V86" s="2087">
        <v>0</v>
      </c>
      <c r="W86" s="2087"/>
      <c r="X86" s="2087"/>
      <c r="Y86" s="2087"/>
      <c r="Z86" s="2087"/>
      <c r="AA86" s="2087"/>
      <c r="AB86" s="2087">
        <v>0</v>
      </c>
      <c r="AC86" s="2087"/>
      <c r="AD86" s="2087"/>
      <c r="AE86" s="2087"/>
      <c r="AF86" s="2087"/>
      <c r="AG86" s="2087"/>
      <c r="AH86" s="2088"/>
      <c r="AI86" s="1189"/>
      <c r="AJ86" s="2138"/>
      <c r="AK86" s="2139"/>
      <c r="AL86" s="2139"/>
      <c r="AM86" s="2139"/>
      <c r="AN86" s="2139"/>
      <c r="AO86" s="2139"/>
      <c r="AP86" s="2139"/>
      <c r="AQ86" s="2139"/>
      <c r="AR86" s="2139"/>
      <c r="AS86" s="2139"/>
      <c r="AT86" s="2139"/>
      <c r="AU86" s="2139"/>
      <c r="AV86" s="2139"/>
      <c r="AW86" s="2139"/>
      <c r="AX86" s="2139"/>
      <c r="AY86" s="2154"/>
      <c r="AZ86" s="2154"/>
      <c r="BA86" s="2154"/>
      <c r="BB86" s="2155"/>
      <c r="BC86" s="1189"/>
      <c r="BD86" s="1189"/>
      <c r="BE86" s="1193"/>
      <c r="CK86" s="1187"/>
      <c r="CL86" s="1187"/>
      <c r="CM86" s="1187"/>
      <c r="CN86" s="1187"/>
      <c r="CO86" s="1187"/>
      <c r="CP86" s="1187"/>
    </row>
    <row r="87" spans="1:94" ht="15.75" customHeight="1">
      <c r="A87" s="1189"/>
      <c r="B87" s="2146" t="s">
        <v>2370</v>
      </c>
      <c r="C87" s="2114"/>
      <c r="D87" s="2114"/>
      <c r="E87" s="2114"/>
      <c r="F87" s="2114"/>
      <c r="G87" s="2114"/>
      <c r="H87" s="2114"/>
      <c r="I87" s="2087">
        <v>0</v>
      </c>
      <c r="J87" s="2087"/>
      <c r="K87" s="2087"/>
      <c r="L87" s="2087"/>
      <c r="M87" s="2087"/>
      <c r="N87" s="2087"/>
      <c r="O87" s="2087">
        <v>0</v>
      </c>
      <c r="P87" s="2087"/>
      <c r="Q87" s="2087"/>
      <c r="R87" s="2087"/>
      <c r="S87" s="2087"/>
      <c r="T87" s="2087"/>
      <c r="U87" s="2087"/>
      <c r="V87" s="2087">
        <v>0</v>
      </c>
      <c r="W87" s="2087"/>
      <c r="X87" s="2087"/>
      <c r="Y87" s="2087"/>
      <c r="Z87" s="2087"/>
      <c r="AA87" s="2087"/>
      <c r="AB87" s="2087">
        <v>0</v>
      </c>
      <c r="AC87" s="2087"/>
      <c r="AD87" s="2087"/>
      <c r="AE87" s="2087"/>
      <c r="AF87" s="2087"/>
      <c r="AG87" s="2087"/>
      <c r="AH87" s="2088"/>
      <c r="AI87" s="1189"/>
      <c r="AJ87" s="2054" t="s">
        <v>2377</v>
      </c>
      <c r="AK87" s="2055"/>
      <c r="AL87" s="2055"/>
      <c r="AM87" s="2055"/>
      <c r="AN87" s="2055"/>
      <c r="AO87" s="2055"/>
      <c r="AP87" s="2055"/>
      <c r="AQ87" s="2055"/>
      <c r="AR87" s="2055"/>
      <c r="AS87" s="2055"/>
      <c r="AT87" s="2055"/>
      <c r="AU87" s="2055"/>
      <c r="AV87" s="2055"/>
      <c r="AW87" s="2055"/>
      <c r="AX87" s="2055"/>
      <c r="AY87" s="2055"/>
      <c r="AZ87" s="2055"/>
      <c r="BA87" s="2055"/>
      <c r="BB87" s="2056"/>
      <c r="BC87" s="1189"/>
      <c r="BD87" s="1189"/>
      <c r="BE87" s="1193"/>
      <c r="CK87" s="1187"/>
      <c r="CL87" s="1187"/>
      <c r="CM87" s="1187"/>
      <c r="CN87" s="1187"/>
      <c r="CO87" s="1187"/>
      <c r="CP87" s="1187"/>
    </row>
    <row r="88" spans="1:94" ht="15.75" customHeight="1" thickBot="1">
      <c r="A88" s="1189"/>
      <c r="B88" s="2144" t="s">
        <v>2369</v>
      </c>
      <c r="C88" s="2145"/>
      <c r="D88" s="2145"/>
      <c r="E88" s="2145"/>
      <c r="F88" s="2145"/>
      <c r="G88" s="2145"/>
      <c r="H88" s="2145"/>
      <c r="I88" s="2081">
        <v>0</v>
      </c>
      <c r="J88" s="2081"/>
      <c r="K88" s="2081"/>
      <c r="L88" s="2081"/>
      <c r="M88" s="2081"/>
      <c r="N88" s="2081"/>
      <c r="O88" s="2081">
        <v>0</v>
      </c>
      <c r="P88" s="2081"/>
      <c r="Q88" s="2081"/>
      <c r="R88" s="2081"/>
      <c r="S88" s="2081"/>
      <c r="T88" s="2081"/>
      <c r="U88" s="2081"/>
      <c r="V88" s="2081">
        <v>0</v>
      </c>
      <c r="W88" s="2081"/>
      <c r="X88" s="2081"/>
      <c r="Y88" s="2081"/>
      <c r="Z88" s="2081"/>
      <c r="AA88" s="2081"/>
      <c r="AB88" s="2081">
        <v>0</v>
      </c>
      <c r="AC88" s="2081"/>
      <c r="AD88" s="2081"/>
      <c r="AE88" s="2081"/>
      <c r="AF88" s="2081"/>
      <c r="AG88" s="2081"/>
      <c r="AH88" s="2082"/>
      <c r="AI88" s="1189"/>
      <c r="AJ88" s="2057"/>
      <c r="AK88" s="2058"/>
      <c r="AL88" s="2058"/>
      <c r="AM88" s="2058"/>
      <c r="AN88" s="2058"/>
      <c r="AO88" s="2058"/>
      <c r="AP88" s="2058"/>
      <c r="AQ88" s="2058"/>
      <c r="AR88" s="2058"/>
      <c r="AS88" s="2058"/>
      <c r="AT88" s="2058"/>
      <c r="AU88" s="2058"/>
      <c r="AV88" s="2058"/>
      <c r="AW88" s="2058"/>
      <c r="AX88" s="2058"/>
      <c r="AY88" s="2058"/>
      <c r="AZ88" s="2058"/>
      <c r="BA88" s="2058"/>
      <c r="BB88" s="2059"/>
      <c r="BC88" s="1189"/>
      <c r="BD88" s="1189"/>
      <c r="BE88" s="1193"/>
      <c r="CK88" s="1187"/>
      <c r="CL88" s="1187"/>
      <c r="CM88" s="1187"/>
      <c r="CN88" s="1187"/>
      <c r="CO88" s="1187"/>
      <c r="CP88" s="1187"/>
    </row>
    <row r="89" spans="1:94" ht="15.75" customHeight="1">
      <c r="A89" s="1189"/>
      <c r="B89" s="1189"/>
      <c r="C89" s="1189"/>
      <c r="D89" s="1189"/>
      <c r="E89" s="1189"/>
      <c r="F89" s="1189"/>
      <c r="G89" s="1189"/>
      <c r="H89" s="1189"/>
      <c r="I89" s="1189"/>
      <c r="J89" s="1189"/>
      <c r="K89" s="1189"/>
      <c r="L89" s="1189"/>
      <c r="M89" s="1189"/>
      <c r="N89" s="1189"/>
      <c r="O89" s="1189"/>
      <c r="P89" s="1189"/>
      <c r="Q89" s="1189"/>
      <c r="R89" s="1189"/>
      <c r="S89" s="1189"/>
      <c r="T89" s="1189"/>
      <c r="U89" s="1189"/>
      <c r="V89" s="1189"/>
      <c r="W89" s="1189"/>
      <c r="X89" s="1189"/>
      <c r="Y89" s="1189"/>
      <c r="Z89" s="1189"/>
      <c r="AA89" s="1189"/>
      <c r="AB89" s="1189"/>
      <c r="AC89" s="1189"/>
      <c r="AD89" s="1189"/>
      <c r="AE89" s="1189"/>
      <c r="AF89" s="1189"/>
      <c r="AG89" s="1189"/>
      <c r="AH89" s="1189"/>
      <c r="AI89" s="1189"/>
      <c r="AJ89" s="1189"/>
      <c r="AK89" s="1189"/>
      <c r="AL89" s="1189"/>
      <c r="AM89" s="1189"/>
      <c r="AN89" s="1189"/>
      <c r="AO89" s="1189"/>
      <c r="AP89" s="1189"/>
      <c r="AQ89" s="1189"/>
      <c r="AR89" s="1189"/>
      <c r="AS89" s="1189"/>
      <c r="AT89" s="1189"/>
      <c r="AU89" s="1189"/>
      <c r="AV89" s="1189"/>
      <c r="AW89" s="1189"/>
      <c r="AX89" s="1189"/>
      <c r="AY89" s="1189"/>
      <c r="AZ89" s="1189"/>
      <c r="BA89" s="1189"/>
      <c r="BB89" s="1189"/>
      <c r="BC89" s="1189"/>
      <c r="BD89" s="1189"/>
      <c r="BE89" s="1193"/>
      <c r="CM89" s="1187"/>
      <c r="CN89" s="1187"/>
      <c r="CO89" s="1187"/>
      <c r="CP89" s="1187"/>
    </row>
    <row r="90" spans="1:94" ht="15.75" customHeight="1" thickBot="1">
      <c r="A90" s="1189"/>
      <c r="B90" s="1189"/>
      <c r="C90" s="1189"/>
      <c r="D90" s="1189"/>
      <c r="E90" s="1189"/>
      <c r="F90" s="1189"/>
      <c r="G90" s="1189"/>
      <c r="H90" s="1189"/>
      <c r="I90" s="1189"/>
      <c r="J90" s="1189"/>
      <c r="K90" s="1189"/>
      <c r="L90" s="1189"/>
      <c r="M90" s="1189"/>
      <c r="N90" s="1189"/>
      <c r="O90" s="1189"/>
      <c r="P90" s="1189"/>
      <c r="Q90" s="1189"/>
      <c r="R90" s="1189"/>
      <c r="S90" s="1189"/>
      <c r="T90" s="1189"/>
      <c r="U90" s="1189"/>
      <c r="V90" s="1189"/>
      <c r="W90" s="1189"/>
      <c r="X90" s="1189"/>
      <c r="Y90" s="1189"/>
      <c r="Z90" s="1189"/>
      <c r="AA90" s="1189"/>
      <c r="AB90" s="1189"/>
      <c r="AC90" s="1189"/>
      <c r="AD90" s="1189"/>
      <c r="AE90" s="1189"/>
      <c r="AF90" s="1189"/>
      <c r="AG90" s="1189"/>
      <c r="AH90" s="1189"/>
      <c r="AI90" s="1189"/>
      <c r="AJ90" s="1189"/>
      <c r="AK90" s="1189"/>
      <c r="AL90" s="1189"/>
      <c r="AM90" s="1189"/>
      <c r="AN90" s="1189"/>
      <c r="AO90" s="1189"/>
      <c r="AP90" s="1189"/>
      <c r="AQ90" s="1189"/>
      <c r="AR90" s="1189"/>
      <c r="AS90" s="1189"/>
      <c r="AT90" s="1189"/>
      <c r="AU90" s="1189"/>
      <c r="AV90" s="1189"/>
      <c r="AW90" s="1189"/>
      <c r="AX90" s="1189"/>
      <c r="AY90" s="1189"/>
      <c r="AZ90" s="1189"/>
      <c r="BA90" s="1189"/>
      <c r="BB90" s="1189"/>
      <c r="BC90" s="1189"/>
      <c r="BD90" s="1189"/>
      <c r="BE90" s="1193"/>
      <c r="CM90" s="1187"/>
      <c r="CN90" s="1187"/>
      <c r="CO90" s="1187"/>
      <c r="CP90" s="1187"/>
    </row>
    <row r="91" spans="1:94" ht="15.75" customHeight="1" thickBot="1">
      <c r="A91" s="1189"/>
      <c r="B91" s="1201" t="s">
        <v>2382</v>
      </c>
      <c r="C91" s="1207"/>
      <c r="D91" s="1208"/>
      <c r="E91" s="1209"/>
      <c r="F91" s="1209"/>
      <c r="G91" s="1209"/>
      <c r="H91" s="1209"/>
      <c r="I91" s="1209"/>
      <c r="J91" s="1209"/>
      <c r="K91" s="1209"/>
      <c r="L91" s="1209"/>
      <c r="M91" s="1209"/>
      <c r="N91" s="1209"/>
      <c r="O91" s="1209"/>
      <c r="P91" s="1209"/>
      <c r="Q91" s="1209"/>
      <c r="R91" s="1209"/>
      <c r="S91" s="1209"/>
      <c r="T91" s="1210"/>
      <c r="U91" s="1189"/>
      <c r="V91" s="1189"/>
      <c r="W91" s="1189"/>
      <c r="X91" s="1189"/>
      <c r="Y91" s="1189"/>
      <c r="Z91" s="1189"/>
      <c r="AA91" s="1189"/>
      <c r="AB91" s="1189"/>
      <c r="AC91" s="1189"/>
      <c r="AD91" s="1189"/>
      <c r="AE91" s="1189"/>
      <c r="AF91" s="1189"/>
      <c r="AG91" s="1189"/>
      <c r="AH91" s="1189"/>
      <c r="AI91" s="1189"/>
      <c r="AJ91" s="1189"/>
      <c r="AK91" s="1189"/>
      <c r="AL91" s="1189"/>
      <c r="AM91" s="1189"/>
      <c r="AN91" s="1189"/>
      <c r="AO91" s="1189"/>
      <c r="AP91" s="1189"/>
      <c r="AQ91" s="1189"/>
      <c r="AR91" s="1189"/>
      <c r="AS91" s="1189"/>
      <c r="AT91" s="1189"/>
      <c r="AU91" s="1189"/>
      <c r="AV91" s="1189"/>
      <c r="AW91" s="1189"/>
      <c r="AX91" s="1189"/>
      <c r="AY91" s="1189"/>
      <c r="AZ91" s="1189"/>
      <c r="BA91" s="1189"/>
      <c r="BB91" s="1189"/>
      <c r="BC91" s="1189"/>
      <c r="BD91" s="1189"/>
      <c r="BE91" s="1193"/>
      <c r="BQ91" s="1257"/>
      <c r="CM91" s="1187"/>
      <c r="CN91" s="1187"/>
      <c r="CO91" s="1187"/>
      <c r="CP91" s="1187"/>
    </row>
    <row r="92" spans="1:94" ht="15.75" customHeight="1">
      <c r="A92" s="1189"/>
      <c r="B92" s="1211" t="s">
        <v>2286</v>
      </c>
      <c r="C92" s="1211"/>
      <c r="D92" s="1212"/>
      <c r="E92" s="1213"/>
      <c r="F92" s="2156"/>
      <c r="G92" s="2157"/>
      <c r="H92" s="2157"/>
      <c r="I92" s="2157"/>
      <c r="J92" s="2157"/>
      <c r="K92" s="2157"/>
      <c r="L92" s="2157"/>
      <c r="M92" s="2157"/>
      <c r="N92" s="2157"/>
      <c r="O92" s="2157"/>
      <c r="P92" s="2157"/>
      <c r="Q92" s="2157"/>
      <c r="R92" s="2157"/>
      <c r="S92" s="2157"/>
      <c r="T92" s="2158"/>
      <c r="U92" s="1189"/>
      <c r="V92" s="1189"/>
      <c r="W92" s="1189"/>
      <c r="X92" s="1189"/>
      <c r="Y92" s="1189"/>
      <c r="Z92" s="1189"/>
      <c r="AA92" s="1189"/>
      <c r="AB92" s="1189"/>
      <c r="AC92" s="1189"/>
      <c r="AD92" s="1189"/>
      <c r="AE92" s="1189"/>
      <c r="AF92" s="1189"/>
      <c r="AG92" s="1189"/>
      <c r="AH92" s="1189"/>
      <c r="AI92" s="1189"/>
      <c r="AJ92" s="1189"/>
      <c r="AK92" s="1189"/>
      <c r="AL92" s="1189"/>
      <c r="AM92" s="1189"/>
      <c r="AN92" s="1189"/>
      <c r="AO92" s="1189"/>
      <c r="AP92" s="1189"/>
      <c r="AQ92" s="1189"/>
      <c r="AR92" s="1189"/>
      <c r="AS92" s="1189"/>
      <c r="AT92" s="1189"/>
      <c r="AU92" s="1189"/>
      <c r="AV92" s="1189"/>
      <c r="AW92" s="1189"/>
      <c r="AX92" s="1189"/>
      <c r="AY92" s="1189"/>
      <c r="AZ92" s="1189"/>
      <c r="BA92" s="1189"/>
      <c r="BB92" s="1189"/>
      <c r="BC92" s="1189"/>
      <c r="BD92" s="1189"/>
      <c r="BE92" s="1193"/>
      <c r="CM92" s="1187"/>
      <c r="CN92" s="1187"/>
      <c r="CO92" s="1187"/>
      <c r="CP92" s="1187"/>
    </row>
    <row r="93" spans="1:94" ht="15.75" customHeight="1" thickBot="1">
      <c r="A93" s="1189"/>
      <c r="B93" s="2159" t="s">
        <v>2381</v>
      </c>
      <c r="C93" s="2160"/>
      <c r="D93" s="2160"/>
      <c r="E93" s="2160"/>
      <c r="F93" s="2160"/>
      <c r="G93" s="2160"/>
      <c r="H93" s="2160"/>
      <c r="I93" s="2160"/>
      <c r="J93" s="2160"/>
      <c r="K93" s="2160"/>
      <c r="L93" s="2160"/>
      <c r="M93" s="2160"/>
      <c r="N93" s="2160"/>
      <c r="O93" s="2160"/>
      <c r="P93" s="2160"/>
      <c r="Q93" s="2161"/>
      <c r="R93" s="2162" t="str">
        <f>IFERROR(INDEX(BR96:BR98,MATCH(F92,$BQ$96:$BQ$98,0))/SUM($BR$96:$BR$98),"")</f>
        <v/>
      </c>
      <c r="S93" s="2163"/>
      <c r="T93" s="2164"/>
      <c r="U93" s="1189"/>
      <c r="V93" s="1189"/>
      <c r="W93" s="1189"/>
      <c r="X93" s="1189"/>
      <c r="Y93" s="1189"/>
      <c r="Z93" s="1189"/>
      <c r="AA93" s="1189"/>
      <c r="AB93" s="1189"/>
      <c r="AC93" s="1189"/>
      <c r="AD93" s="1189"/>
      <c r="AE93" s="1189"/>
      <c r="AF93" s="1189"/>
      <c r="AG93" s="1189"/>
      <c r="AH93" s="1189"/>
      <c r="AI93" s="1189"/>
      <c r="AJ93" s="1189"/>
      <c r="AK93" s="1189"/>
      <c r="AL93" s="1189"/>
      <c r="AM93" s="1189"/>
      <c r="AN93" s="1189"/>
      <c r="AO93" s="1189"/>
      <c r="AP93" s="1189"/>
      <c r="AQ93" s="1189"/>
      <c r="AR93" s="1189"/>
      <c r="AS93" s="1189"/>
      <c r="AT93" s="1189"/>
      <c r="AU93" s="1189"/>
      <c r="AV93" s="1189"/>
      <c r="AW93" s="1189"/>
      <c r="AX93" s="1189"/>
      <c r="AY93" s="1189"/>
      <c r="AZ93" s="1189"/>
      <c r="BA93" s="1189"/>
      <c r="BB93" s="1189"/>
      <c r="BC93" s="1189"/>
      <c r="BD93" s="1189"/>
      <c r="BE93" s="1193"/>
      <c r="CM93" s="1187"/>
      <c r="CN93" s="1187"/>
      <c r="CO93" s="1187"/>
      <c r="CP93" s="1187"/>
    </row>
    <row r="94" spans="1:94" ht="15.75" customHeight="1" thickBot="1">
      <c r="A94" s="1189"/>
      <c r="B94" s="2165" t="s">
        <v>2380</v>
      </c>
      <c r="C94" s="2166"/>
      <c r="D94" s="2166"/>
      <c r="E94" s="2166"/>
      <c r="F94" s="2166"/>
      <c r="G94" s="2166"/>
      <c r="H94" s="2166"/>
      <c r="I94" s="2166"/>
      <c r="J94" s="2166"/>
      <c r="K94" s="2166"/>
      <c r="L94" s="2166"/>
      <c r="M94" s="2166"/>
      <c r="N94" s="2166"/>
      <c r="O94" s="2166"/>
      <c r="P94" s="2166"/>
      <c r="Q94" s="2167"/>
      <c r="R94" s="2147" t="s">
        <v>2190</v>
      </c>
      <c r="S94" s="2148"/>
      <c r="T94" s="2149"/>
      <c r="U94" s="1189"/>
      <c r="V94" s="1189"/>
      <c r="W94" s="1189"/>
      <c r="X94" s="1189"/>
      <c r="Y94" s="1189"/>
      <c r="Z94" s="1189"/>
      <c r="AA94" s="1189"/>
      <c r="AB94" s="1189"/>
      <c r="AC94" s="1189"/>
      <c r="AD94" s="1189"/>
      <c r="AE94" s="1189"/>
      <c r="AF94" s="1189"/>
      <c r="AG94" s="1189"/>
      <c r="AH94" s="1189"/>
      <c r="AI94" s="1189"/>
      <c r="AJ94" s="1189"/>
      <c r="AK94" s="1189"/>
      <c r="AL94" s="1189"/>
      <c r="AM94" s="1189"/>
      <c r="AN94" s="1189"/>
      <c r="AO94" s="1189"/>
      <c r="AP94" s="1189"/>
      <c r="AQ94" s="1189"/>
      <c r="AR94" s="1189"/>
      <c r="AS94" s="1189"/>
      <c r="AT94" s="1189"/>
      <c r="AU94" s="1189"/>
      <c r="AV94" s="1189"/>
      <c r="AW94" s="1189"/>
      <c r="AX94" s="1189"/>
      <c r="AY94" s="1189"/>
      <c r="AZ94" s="1189"/>
      <c r="BA94" s="1189"/>
      <c r="BB94" s="1189"/>
      <c r="BC94" s="1189"/>
      <c r="BD94" s="1189"/>
      <c r="BE94" s="1193"/>
      <c r="CM94" s="1187"/>
      <c r="CN94" s="1187"/>
      <c r="CO94" s="1187"/>
      <c r="CP94" s="1187"/>
    </row>
    <row r="95" spans="1:94" ht="15.75" customHeight="1" thickBot="1">
      <c r="A95" s="1189"/>
      <c r="B95" s="1189"/>
      <c r="C95" s="1189"/>
      <c r="D95" s="1189"/>
      <c r="E95" s="1189"/>
      <c r="F95" s="1189"/>
      <c r="G95" s="1189"/>
      <c r="H95" s="1189"/>
      <c r="I95" s="1189"/>
      <c r="J95" s="1189"/>
      <c r="K95" s="1189"/>
      <c r="L95" s="1189"/>
      <c r="M95" s="1189"/>
      <c r="N95" s="1189"/>
      <c r="O95" s="1189"/>
      <c r="P95" s="1189"/>
      <c r="Q95" s="1189"/>
      <c r="R95" s="1189"/>
      <c r="S95" s="1189"/>
      <c r="T95" s="1189"/>
      <c r="U95" s="1189"/>
      <c r="V95" s="1189"/>
      <c r="W95" s="1189"/>
      <c r="X95" s="1189"/>
      <c r="Y95" s="1189"/>
      <c r="Z95" s="1189"/>
      <c r="AA95" s="1189"/>
      <c r="AB95" s="1189"/>
      <c r="AC95" s="1189"/>
      <c r="AD95" s="1189"/>
      <c r="AE95" s="1189"/>
      <c r="AF95" s="1189"/>
      <c r="AG95" s="1189"/>
      <c r="AH95" s="1189"/>
      <c r="AI95" s="1189"/>
      <c r="AJ95" s="1189"/>
      <c r="AK95" s="1189"/>
      <c r="AL95" s="1189"/>
      <c r="AM95" s="1189"/>
      <c r="AN95" s="1189"/>
      <c r="AO95" s="1189"/>
      <c r="AP95" s="1189"/>
      <c r="AQ95" s="1189"/>
      <c r="AR95" s="1189"/>
      <c r="AS95" s="1189"/>
      <c r="AT95" s="1189"/>
      <c r="AU95" s="1189"/>
      <c r="AV95" s="1189"/>
      <c r="AW95" s="1189"/>
      <c r="AX95" s="1189"/>
      <c r="AY95" s="1189"/>
      <c r="AZ95" s="1189"/>
      <c r="BA95" s="1189"/>
      <c r="BB95" s="1189"/>
      <c r="BC95" s="1189"/>
      <c r="BD95" s="1189"/>
      <c r="BE95" s="1193"/>
      <c r="CM95" s="1187"/>
      <c r="CN95" s="1187"/>
      <c r="CO95" s="1187"/>
      <c r="CP95" s="1187"/>
    </row>
    <row r="96" spans="1:94" ht="15.75" customHeight="1">
      <c r="A96" s="1189"/>
      <c r="B96" s="2168" t="s">
        <v>2379</v>
      </c>
      <c r="C96" s="2169"/>
      <c r="D96" s="2169"/>
      <c r="E96" s="2169"/>
      <c r="F96" s="2169"/>
      <c r="G96" s="2169"/>
      <c r="H96" s="2169"/>
      <c r="I96" s="2169"/>
      <c r="J96" s="2169"/>
      <c r="K96" s="2169"/>
      <c r="L96" s="2169"/>
      <c r="M96" s="2169"/>
      <c r="N96" s="2169"/>
      <c r="O96" s="2169"/>
      <c r="P96" s="2169"/>
      <c r="Q96" s="2169"/>
      <c r="R96" s="2169"/>
      <c r="S96" s="2169"/>
      <c r="T96" s="2169"/>
      <c r="U96" s="2169"/>
      <c r="V96" s="2169"/>
      <c r="W96" s="2169"/>
      <c r="X96" s="2169"/>
      <c r="Y96" s="2169"/>
      <c r="Z96" s="2169"/>
      <c r="AA96" s="2169"/>
      <c r="AB96" s="2169"/>
      <c r="AC96" s="2169"/>
      <c r="AD96" s="2169"/>
      <c r="AE96" s="2169"/>
      <c r="AF96" s="2169"/>
      <c r="AG96" s="2169"/>
      <c r="AH96" s="2170"/>
      <c r="AI96" s="1189"/>
      <c r="AJ96" s="2135" t="s">
        <v>2378</v>
      </c>
      <c r="AK96" s="2136"/>
      <c r="AL96" s="2136"/>
      <c r="AM96" s="2136"/>
      <c r="AN96" s="2136"/>
      <c r="AO96" s="2136"/>
      <c r="AP96" s="2136"/>
      <c r="AQ96" s="2136"/>
      <c r="AR96" s="2136"/>
      <c r="AS96" s="2136"/>
      <c r="AT96" s="2136"/>
      <c r="AU96" s="2136"/>
      <c r="AV96" s="2136"/>
      <c r="AW96" s="2136"/>
      <c r="AX96" s="2136"/>
      <c r="AY96" s="2152" t="s">
        <v>546</v>
      </c>
      <c r="AZ96" s="2152"/>
      <c r="BA96" s="2152"/>
      <c r="BB96" s="2153"/>
      <c r="BC96" s="1189"/>
      <c r="BD96" s="1189"/>
      <c r="BE96" s="1193"/>
      <c r="BQ96" s="1255" t="str">
        <f>Application!M243&amp;IF(TRIM(Application!AA249)&lt;&gt;""," ("&amp;Application!AA249&amp;")","")</f>
        <v>To-Be-Formed LLC with CADI as sole GP (Century Affordable Development, Inc.)</v>
      </c>
      <c r="BR96" s="1258">
        <f>Application!AH246</f>
        <v>0</v>
      </c>
      <c r="CM96" s="1187"/>
      <c r="CN96" s="1187"/>
      <c r="CO96" s="1187"/>
      <c r="CP96" s="1187"/>
    </row>
    <row r="97" spans="1:94" ht="15.75" customHeight="1">
      <c r="A97" s="1189"/>
      <c r="B97" s="2146"/>
      <c r="C97" s="2114"/>
      <c r="D97" s="2114"/>
      <c r="E97" s="2114"/>
      <c r="F97" s="2114"/>
      <c r="G97" s="2114"/>
      <c r="H97" s="2114"/>
      <c r="I97" s="2114" t="s">
        <v>2373</v>
      </c>
      <c r="J97" s="2114"/>
      <c r="K97" s="2114"/>
      <c r="L97" s="2114"/>
      <c r="M97" s="2114"/>
      <c r="N97" s="2114"/>
      <c r="O97" s="2114" t="s">
        <v>2349</v>
      </c>
      <c r="P97" s="2114"/>
      <c r="Q97" s="2114"/>
      <c r="R97" s="2114"/>
      <c r="S97" s="2114"/>
      <c r="T97" s="2114"/>
      <c r="U97" s="2114"/>
      <c r="V97" s="2150" t="s">
        <v>2348</v>
      </c>
      <c r="W97" s="2150"/>
      <c r="X97" s="2150"/>
      <c r="Y97" s="2150"/>
      <c r="Z97" s="2150"/>
      <c r="AA97" s="2150"/>
      <c r="AB97" s="2084" t="s">
        <v>2372</v>
      </c>
      <c r="AC97" s="2084"/>
      <c r="AD97" s="2084"/>
      <c r="AE97" s="2084"/>
      <c r="AF97" s="2084"/>
      <c r="AG97" s="2084"/>
      <c r="AH97" s="2151"/>
      <c r="AI97" s="1189"/>
      <c r="AJ97" s="2138"/>
      <c r="AK97" s="2139"/>
      <c r="AL97" s="2139"/>
      <c r="AM97" s="2139"/>
      <c r="AN97" s="2139"/>
      <c r="AO97" s="2139"/>
      <c r="AP97" s="2139"/>
      <c r="AQ97" s="2139"/>
      <c r="AR97" s="2139"/>
      <c r="AS97" s="2139"/>
      <c r="AT97" s="2139"/>
      <c r="AU97" s="2139"/>
      <c r="AV97" s="2139"/>
      <c r="AW97" s="2139"/>
      <c r="AX97" s="2139"/>
      <c r="AY97" s="2154"/>
      <c r="AZ97" s="2154"/>
      <c r="BA97" s="2154"/>
      <c r="BB97" s="2155"/>
      <c r="BC97" s="1189"/>
      <c r="BD97" s="1189"/>
      <c r="BE97" s="1193"/>
      <c r="BQ97" s="1255" t="str">
        <f>Application!M251&amp;IF(TRIM(Application!AA257)&lt;&gt;""," ("&amp;Application!AA257&amp;")","")</f>
        <v>N/A</v>
      </c>
      <c r="BR97" s="1258">
        <f>Application!AH254</f>
        <v>0</v>
      </c>
      <c r="CM97" s="1187"/>
      <c r="CN97" s="1187"/>
      <c r="CO97" s="1187"/>
      <c r="CP97" s="1187"/>
    </row>
    <row r="98" spans="1:94" ht="15.75" customHeight="1">
      <c r="A98" s="1189"/>
      <c r="B98" s="2146"/>
      <c r="C98" s="2114"/>
      <c r="D98" s="2114"/>
      <c r="E98" s="2114"/>
      <c r="F98" s="2114"/>
      <c r="G98" s="2114"/>
      <c r="H98" s="2114"/>
      <c r="I98" s="2114"/>
      <c r="J98" s="2114"/>
      <c r="K98" s="2114"/>
      <c r="L98" s="2114"/>
      <c r="M98" s="2114"/>
      <c r="N98" s="2114"/>
      <c r="O98" s="2114"/>
      <c r="P98" s="2114"/>
      <c r="Q98" s="2114"/>
      <c r="R98" s="2114"/>
      <c r="S98" s="2114"/>
      <c r="T98" s="2114"/>
      <c r="U98" s="2114"/>
      <c r="V98" s="2150"/>
      <c r="W98" s="2150"/>
      <c r="X98" s="2150"/>
      <c r="Y98" s="2150"/>
      <c r="Z98" s="2150"/>
      <c r="AA98" s="2150"/>
      <c r="AB98" s="2084"/>
      <c r="AC98" s="2084"/>
      <c r="AD98" s="2084"/>
      <c r="AE98" s="2084"/>
      <c r="AF98" s="2084"/>
      <c r="AG98" s="2084"/>
      <c r="AH98" s="2151"/>
      <c r="AI98" s="1189"/>
      <c r="AJ98" s="2138"/>
      <c r="AK98" s="2139"/>
      <c r="AL98" s="2139"/>
      <c r="AM98" s="2139"/>
      <c r="AN98" s="2139"/>
      <c r="AO98" s="2139"/>
      <c r="AP98" s="2139"/>
      <c r="AQ98" s="2139"/>
      <c r="AR98" s="2139"/>
      <c r="AS98" s="2139"/>
      <c r="AT98" s="2139"/>
      <c r="AU98" s="2139"/>
      <c r="AV98" s="2139"/>
      <c r="AW98" s="2139"/>
      <c r="AX98" s="2139"/>
      <c r="AY98" s="2154"/>
      <c r="AZ98" s="2154"/>
      <c r="BA98" s="2154"/>
      <c r="BB98" s="2155"/>
      <c r="BC98" s="1189"/>
      <c r="BD98" s="1189"/>
      <c r="BE98" s="1193"/>
      <c r="BQ98" s="1255" t="str">
        <f>Application!M259&amp;IF(TRIM(Application!AA265)&lt;&gt;""," ("&amp;Application!AA265&amp;")","")</f>
        <v>N/A</v>
      </c>
      <c r="BR98" s="1258">
        <f>Application!AH262</f>
        <v>0</v>
      </c>
      <c r="CM98" s="1187"/>
      <c r="CN98" s="1187"/>
      <c r="CO98" s="1187"/>
      <c r="CP98" s="1187"/>
    </row>
    <row r="99" spans="1:94" ht="15.75" customHeight="1">
      <c r="A99" s="1189"/>
      <c r="B99" s="2146" t="s">
        <v>2371</v>
      </c>
      <c r="C99" s="2114"/>
      <c r="D99" s="2114"/>
      <c r="E99" s="2114"/>
      <c r="F99" s="2114"/>
      <c r="G99" s="2114"/>
      <c r="H99" s="2114"/>
      <c r="I99" s="2087">
        <v>0</v>
      </c>
      <c r="J99" s="2087"/>
      <c r="K99" s="2087"/>
      <c r="L99" s="2087"/>
      <c r="M99" s="2087"/>
      <c r="N99" s="2087"/>
      <c r="O99" s="2087">
        <v>0</v>
      </c>
      <c r="P99" s="2087"/>
      <c r="Q99" s="2087"/>
      <c r="R99" s="2087"/>
      <c r="S99" s="2087"/>
      <c r="T99" s="2087"/>
      <c r="U99" s="2087"/>
      <c r="V99" s="2087">
        <v>0</v>
      </c>
      <c r="W99" s="2087"/>
      <c r="X99" s="2087"/>
      <c r="Y99" s="2087"/>
      <c r="Z99" s="2087"/>
      <c r="AA99" s="2087"/>
      <c r="AB99" s="2087">
        <v>0</v>
      </c>
      <c r="AC99" s="2087"/>
      <c r="AD99" s="2087"/>
      <c r="AE99" s="2087"/>
      <c r="AF99" s="2087"/>
      <c r="AG99" s="2087"/>
      <c r="AH99" s="2088"/>
      <c r="AI99" s="1189"/>
      <c r="AJ99" s="2138"/>
      <c r="AK99" s="2139"/>
      <c r="AL99" s="2139"/>
      <c r="AM99" s="2139"/>
      <c r="AN99" s="2139"/>
      <c r="AO99" s="2139"/>
      <c r="AP99" s="2139"/>
      <c r="AQ99" s="2139"/>
      <c r="AR99" s="2139"/>
      <c r="AS99" s="2139"/>
      <c r="AT99" s="2139"/>
      <c r="AU99" s="2139"/>
      <c r="AV99" s="2139"/>
      <c r="AW99" s="2139"/>
      <c r="AX99" s="2139"/>
      <c r="AY99" s="2154"/>
      <c r="AZ99" s="2154"/>
      <c r="BA99" s="2154"/>
      <c r="BB99" s="2155"/>
      <c r="BC99" s="1189"/>
      <c r="BD99" s="1189"/>
      <c r="BE99" s="1193"/>
      <c r="CM99" s="1187"/>
      <c r="CN99" s="1187"/>
      <c r="CO99" s="1187"/>
      <c r="CP99" s="1187"/>
    </row>
    <row r="100" spans="1:94" ht="15.75" customHeight="1">
      <c r="A100" s="1189"/>
      <c r="B100" s="2146" t="s">
        <v>2370</v>
      </c>
      <c r="C100" s="2114"/>
      <c r="D100" s="2114"/>
      <c r="E100" s="2114"/>
      <c r="F100" s="2114"/>
      <c r="G100" s="2114"/>
      <c r="H100" s="2114"/>
      <c r="I100" s="2087">
        <v>0</v>
      </c>
      <c r="J100" s="2087"/>
      <c r="K100" s="2087"/>
      <c r="L100" s="2087"/>
      <c r="M100" s="2087"/>
      <c r="N100" s="2087"/>
      <c r="O100" s="2087">
        <v>0</v>
      </c>
      <c r="P100" s="2087"/>
      <c r="Q100" s="2087"/>
      <c r="R100" s="2087"/>
      <c r="S100" s="2087"/>
      <c r="T100" s="2087"/>
      <c r="U100" s="2087"/>
      <c r="V100" s="2087">
        <v>0</v>
      </c>
      <c r="W100" s="2087"/>
      <c r="X100" s="2087"/>
      <c r="Y100" s="2087"/>
      <c r="Z100" s="2087"/>
      <c r="AA100" s="2087"/>
      <c r="AB100" s="2087">
        <v>0</v>
      </c>
      <c r="AC100" s="2087"/>
      <c r="AD100" s="2087"/>
      <c r="AE100" s="2087"/>
      <c r="AF100" s="2087"/>
      <c r="AG100" s="2087"/>
      <c r="AH100" s="2088"/>
      <c r="AI100" s="1189"/>
      <c r="AJ100" s="2054" t="s">
        <v>2377</v>
      </c>
      <c r="AK100" s="2055"/>
      <c r="AL100" s="2055"/>
      <c r="AM100" s="2055"/>
      <c r="AN100" s="2055"/>
      <c r="AO100" s="2055"/>
      <c r="AP100" s="2055"/>
      <c r="AQ100" s="2055"/>
      <c r="AR100" s="2055"/>
      <c r="AS100" s="2055"/>
      <c r="AT100" s="2055"/>
      <c r="AU100" s="2055"/>
      <c r="AV100" s="2055"/>
      <c r="AW100" s="2055"/>
      <c r="AX100" s="2055"/>
      <c r="AY100" s="2055"/>
      <c r="AZ100" s="2055"/>
      <c r="BA100" s="2055"/>
      <c r="BB100" s="2056"/>
      <c r="BC100" s="1189"/>
      <c r="BD100" s="1189"/>
      <c r="BE100" s="1193"/>
      <c r="CM100" s="1187"/>
      <c r="CN100" s="1187"/>
      <c r="CO100" s="1187"/>
      <c r="CP100" s="1187"/>
    </row>
    <row r="101" spans="1:94" ht="15.75" customHeight="1" thickBot="1">
      <c r="A101" s="1189"/>
      <c r="B101" s="2144" t="s">
        <v>2369</v>
      </c>
      <c r="C101" s="2145"/>
      <c r="D101" s="2145"/>
      <c r="E101" s="2145"/>
      <c r="F101" s="2145"/>
      <c r="G101" s="2145"/>
      <c r="H101" s="2145"/>
      <c r="I101" s="2081">
        <v>0</v>
      </c>
      <c r="J101" s="2081"/>
      <c r="K101" s="2081"/>
      <c r="L101" s="2081"/>
      <c r="M101" s="2081"/>
      <c r="N101" s="2081"/>
      <c r="O101" s="2081">
        <v>0</v>
      </c>
      <c r="P101" s="2081"/>
      <c r="Q101" s="2081"/>
      <c r="R101" s="2081"/>
      <c r="S101" s="2081"/>
      <c r="T101" s="2081"/>
      <c r="U101" s="2081"/>
      <c r="V101" s="2081">
        <v>0</v>
      </c>
      <c r="W101" s="2081"/>
      <c r="X101" s="2081"/>
      <c r="Y101" s="2081"/>
      <c r="Z101" s="2081"/>
      <c r="AA101" s="2081"/>
      <c r="AB101" s="2081">
        <v>0</v>
      </c>
      <c r="AC101" s="2081"/>
      <c r="AD101" s="2081"/>
      <c r="AE101" s="2081"/>
      <c r="AF101" s="2081"/>
      <c r="AG101" s="2081"/>
      <c r="AH101" s="2082"/>
      <c r="AI101" s="1189"/>
      <c r="AJ101" s="2057"/>
      <c r="AK101" s="2058"/>
      <c r="AL101" s="2058"/>
      <c r="AM101" s="2058"/>
      <c r="AN101" s="2058"/>
      <c r="AO101" s="2058"/>
      <c r="AP101" s="2058"/>
      <c r="AQ101" s="2058"/>
      <c r="AR101" s="2058"/>
      <c r="AS101" s="2058"/>
      <c r="AT101" s="2058"/>
      <c r="AU101" s="2058"/>
      <c r="AV101" s="2058"/>
      <c r="AW101" s="2058"/>
      <c r="AX101" s="2058"/>
      <c r="AY101" s="2058"/>
      <c r="AZ101" s="2058"/>
      <c r="BA101" s="2058"/>
      <c r="BB101" s="2059"/>
      <c r="BC101" s="1189"/>
      <c r="BD101" s="1189"/>
      <c r="BE101" s="1193"/>
      <c r="BQ101" s="1255" t="str">
        <f>Application!AA335</f>
        <v>Century Villages Property Management, LLC</v>
      </c>
      <c r="CM101" s="1187"/>
      <c r="CN101" s="1187"/>
      <c r="CO101" s="1187"/>
      <c r="CP101" s="1187"/>
    </row>
    <row r="102" spans="1:94" ht="15.75" customHeight="1" thickBot="1">
      <c r="A102" s="1189"/>
      <c r="B102" s="1189"/>
      <c r="C102" s="1189"/>
      <c r="D102" s="1189"/>
      <c r="E102" s="1189"/>
      <c r="F102" s="1189"/>
      <c r="G102" s="1189"/>
      <c r="H102" s="1189"/>
      <c r="I102" s="1189"/>
      <c r="J102" s="1189"/>
      <c r="K102" s="1189"/>
      <c r="L102" s="1189"/>
      <c r="M102" s="1189"/>
      <c r="N102" s="1189"/>
      <c r="O102" s="1189"/>
      <c r="P102" s="1189"/>
      <c r="Q102" s="1189"/>
      <c r="R102" s="1189"/>
      <c r="S102" s="1189"/>
      <c r="T102" s="1189"/>
      <c r="U102" s="1189"/>
      <c r="V102" s="1189"/>
      <c r="W102" s="1189"/>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189"/>
      <c r="AS102" s="1189"/>
      <c r="AT102" s="1189"/>
      <c r="AU102" s="1189"/>
      <c r="AV102" s="1189"/>
      <c r="AW102" s="1189"/>
      <c r="AX102" s="1189"/>
      <c r="AY102" s="1189"/>
      <c r="AZ102" s="1189"/>
      <c r="BA102" s="1189"/>
      <c r="BB102" s="1189"/>
      <c r="BC102" s="1189"/>
      <c r="BD102" s="1189"/>
      <c r="BE102" s="1193"/>
      <c r="BQ102" s="1255" t="str">
        <f>Application!P343</f>
        <v>Not Applicable</v>
      </c>
      <c r="CM102" s="1187"/>
      <c r="CN102" s="1187"/>
      <c r="CO102" s="1187"/>
      <c r="CP102" s="1187"/>
    </row>
    <row r="103" spans="1:94" ht="15.75" customHeight="1" thickBot="1">
      <c r="A103" s="1189"/>
      <c r="B103" s="1208" t="s">
        <v>2376</v>
      </c>
      <c r="C103" s="1202"/>
      <c r="D103" s="1203"/>
      <c r="E103" s="1203"/>
      <c r="F103" s="1214"/>
      <c r="G103" s="1214"/>
      <c r="H103" s="1214"/>
      <c r="I103" s="1214"/>
      <c r="J103" s="1214"/>
      <c r="K103" s="1214"/>
      <c r="L103" s="1214"/>
      <c r="M103" s="1214"/>
      <c r="N103" s="1214"/>
      <c r="O103" s="1215"/>
      <c r="P103" s="1214"/>
      <c r="Q103" s="1214"/>
      <c r="R103" s="1215"/>
      <c r="S103" s="1189" t="s">
        <v>250</v>
      </c>
      <c r="T103" s="1189"/>
      <c r="U103" s="1189"/>
      <c r="V103" s="1189"/>
      <c r="W103" s="1189"/>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189"/>
      <c r="AS103" s="1189"/>
      <c r="AT103" s="1189"/>
      <c r="AU103" s="1189"/>
      <c r="AV103" s="1189"/>
      <c r="AW103" s="1189"/>
      <c r="AX103" s="1189"/>
      <c r="AY103" s="1189"/>
      <c r="AZ103" s="1189"/>
      <c r="BA103" s="1189"/>
      <c r="BB103" s="1189"/>
      <c r="BC103" s="1189"/>
      <c r="BD103" s="1189"/>
      <c r="BE103" s="1193"/>
      <c r="CM103" s="1187"/>
      <c r="CN103" s="1187"/>
      <c r="CO103" s="1187"/>
      <c r="CP103" s="1187"/>
    </row>
    <row r="104" spans="1:94" ht="15.75" customHeight="1">
      <c r="A104" s="1189"/>
      <c r="B104" s="1211" t="s">
        <v>2286</v>
      </c>
      <c r="C104" s="1211"/>
      <c r="D104" s="1216"/>
      <c r="E104" s="1217"/>
      <c r="F104" s="2108"/>
      <c r="G104" s="2109"/>
      <c r="H104" s="2109"/>
      <c r="I104" s="2109"/>
      <c r="J104" s="2109"/>
      <c r="K104" s="2109"/>
      <c r="L104" s="2109"/>
      <c r="M104" s="2109"/>
      <c r="N104" s="2109"/>
      <c r="O104" s="2109"/>
      <c r="P104" s="2109"/>
      <c r="Q104" s="2109"/>
      <c r="R104" s="2110"/>
      <c r="S104" s="1189"/>
      <c r="T104" s="1189"/>
      <c r="U104" s="1189"/>
      <c r="V104" s="1189"/>
      <c r="W104" s="1189"/>
      <c r="X104" s="1189"/>
      <c r="Y104" s="1189"/>
      <c r="Z104" s="1189"/>
      <c r="AA104" s="1189"/>
      <c r="AB104" s="1189"/>
      <c r="AC104" s="1189"/>
      <c r="AD104" s="1189"/>
      <c r="AE104" s="1189"/>
      <c r="AF104" s="1189"/>
      <c r="AG104" s="1189"/>
      <c r="AH104" s="1189"/>
      <c r="AI104" s="1189"/>
      <c r="AJ104" s="1189"/>
      <c r="AK104" s="1189"/>
      <c r="AL104" s="1189"/>
      <c r="AM104" s="1189"/>
      <c r="AN104" s="1189"/>
      <c r="AO104" s="1189"/>
      <c r="AP104" s="1189"/>
      <c r="AQ104" s="1189"/>
      <c r="AR104" s="1189"/>
      <c r="AS104" s="1189"/>
      <c r="AT104" s="1189"/>
      <c r="AU104" s="1189"/>
      <c r="AV104" s="1189"/>
      <c r="AW104" s="1189"/>
      <c r="AX104" s="1189"/>
      <c r="AY104" s="1189"/>
      <c r="AZ104" s="1189"/>
      <c r="BA104" s="1189"/>
      <c r="BB104" s="1189"/>
      <c r="BC104" s="1189"/>
      <c r="BD104" s="1189"/>
      <c r="BE104" s="1193"/>
      <c r="CM104" s="1187"/>
      <c r="CN104" s="1187"/>
      <c r="CO104" s="1187"/>
      <c r="CP104" s="1187"/>
    </row>
    <row r="105" spans="1:94" ht="15.75" customHeight="1" thickBot="1">
      <c r="A105" s="1189"/>
      <c r="B105" s="1218" t="s">
        <v>2375</v>
      </c>
      <c r="C105" s="1219"/>
      <c r="D105" s="1220"/>
      <c r="E105" s="1220"/>
      <c r="F105" s="1220"/>
      <c r="G105" s="1220"/>
      <c r="H105" s="1220"/>
      <c r="I105" s="1220"/>
      <c r="J105" s="1220"/>
      <c r="K105" s="1220"/>
      <c r="L105" s="1221"/>
      <c r="M105" s="1220"/>
      <c r="N105" s="1221"/>
      <c r="O105" s="2147" t="str">
        <f>IFERROR(INDEX(BR96:BR98,MATCH(F104,$BQ$96:$BQ$98,0))/SUM($BR$96:$BR$98),"")</f>
        <v/>
      </c>
      <c r="P105" s="2148"/>
      <c r="Q105" s="2148"/>
      <c r="R105" s="2149"/>
      <c r="S105" s="1189"/>
      <c r="T105" s="1189"/>
      <c r="U105" s="1189"/>
      <c r="V105" s="1189"/>
      <c r="W105" s="1189"/>
      <c r="X105" s="1189"/>
      <c r="Y105" s="1189"/>
      <c r="Z105" s="1189"/>
      <c r="AA105" s="1189"/>
      <c r="AB105" s="1189"/>
      <c r="AC105" s="1189"/>
      <c r="AD105" s="1189"/>
      <c r="AE105" s="1189"/>
      <c r="AF105" s="1189"/>
      <c r="AG105" s="1189"/>
      <c r="AH105" s="1189"/>
      <c r="AI105" s="1189"/>
      <c r="AJ105" s="1189"/>
      <c r="AK105" s="1189"/>
      <c r="AL105" s="1189"/>
      <c r="AM105" s="1189"/>
      <c r="AN105" s="1189"/>
      <c r="AO105" s="1189"/>
      <c r="AP105" s="1189"/>
      <c r="AQ105" s="1189"/>
      <c r="AR105" s="1189"/>
      <c r="AS105" s="1189"/>
      <c r="AT105" s="1189"/>
      <c r="AU105" s="1189"/>
      <c r="AV105" s="1189"/>
      <c r="AW105" s="1189"/>
      <c r="AX105" s="1189"/>
      <c r="AY105" s="1189"/>
      <c r="AZ105" s="1189"/>
      <c r="BA105" s="1189"/>
      <c r="BB105" s="1189"/>
      <c r="BC105" s="1189"/>
      <c r="BD105" s="1189"/>
      <c r="BE105" s="1193"/>
      <c r="CM105" s="1187"/>
      <c r="CN105" s="1187"/>
      <c r="CO105" s="1187"/>
      <c r="CP105" s="1187"/>
    </row>
    <row r="106" spans="1:94" ht="15.75" customHeight="1" thickBot="1">
      <c r="A106" s="1189"/>
      <c r="B106" s="1189"/>
      <c r="C106" s="1189"/>
      <c r="D106" s="1189"/>
      <c r="E106" s="1189"/>
      <c r="F106" s="1189"/>
      <c r="G106" s="1189"/>
      <c r="H106" s="1189"/>
      <c r="I106" s="1189"/>
      <c r="J106" s="1189"/>
      <c r="K106" s="1189"/>
      <c r="L106" s="1189"/>
      <c r="M106" s="1189"/>
      <c r="N106" s="1189"/>
      <c r="O106" s="1189"/>
      <c r="P106" s="1222"/>
      <c r="Q106" s="1189"/>
      <c r="R106" s="1189"/>
      <c r="S106" s="1189"/>
      <c r="T106" s="1189"/>
      <c r="U106" s="1189"/>
      <c r="V106" s="1189"/>
      <c r="W106" s="1189"/>
      <c r="X106" s="1189"/>
      <c r="Y106" s="1189"/>
      <c r="Z106" s="1189"/>
      <c r="AA106" s="1189"/>
      <c r="AB106" s="1189"/>
      <c r="AC106" s="1189"/>
      <c r="AD106" s="1189"/>
      <c r="AE106" s="1189"/>
      <c r="AF106" s="1189"/>
      <c r="AG106" s="1189"/>
      <c r="AH106" s="1189"/>
      <c r="AI106" s="1189"/>
      <c r="AJ106" s="1189"/>
      <c r="AK106" s="1189"/>
      <c r="AL106" s="1189"/>
      <c r="AM106" s="1189"/>
      <c r="AN106" s="1189"/>
      <c r="AO106" s="1189"/>
      <c r="AP106" s="1189"/>
      <c r="AQ106" s="1189"/>
      <c r="AR106" s="1189"/>
      <c r="AS106" s="1189"/>
      <c r="AT106" s="1189"/>
      <c r="AU106" s="1189"/>
      <c r="AV106" s="1189"/>
      <c r="AW106" s="1189"/>
      <c r="AX106" s="1189"/>
      <c r="AY106" s="1189"/>
      <c r="AZ106" s="1189"/>
      <c r="BA106" s="1189"/>
      <c r="BB106" s="1189"/>
      <c r="BC106" s="1189"/>
      <c r="BD106" s="1189"/>
      <c r="BE106" s="1193"/>
      <c r="CM106" s="1187"/>
      <c r="CN106" s="1187"/>
      <c r="CO106" s="1187"/>
      <c r="CP106" s="1187"/>
    </row>
    <row r="107" spans="1:94" ht="15.75" customHeight="1">
      <c r="A107" s="1189"/>
      <c r="B107" s="2037" t="s">
        <v>2374</v>
      </c>
      <c r="C107" s="2038"/>
      <c r="D107" s="2038"/>
      <c r="E107" s="2038"/>
      <c r="F107" s="2038"/>
      <c r="G107" s="2038"/>
      <c r="H107" s="2038"/>
      <c r="I107" s="2038"/>
      <c r="J107" s="2038"/>
      <c r="K107" s="2038"/>
      <c r="L107" s="2038"/>
      <c r="M107" s="2038"/>
      <c r="N107" s="2038"/>
      <c r="O107" s="2038"/>
      <c r="P107" s="2038"/>
      <c r="Q107" s="2038"/>
      <c r="R107" s="2038"/>
      <c r="S107" s="2038"/>
      <c r="T107" s="2038"/>
      <c r="U107" s="2038"/>
      <c r="V107" s="2038"/>
      <c r="W107" s="2038"/>
      <c r="X107" s="2038"/>
      <c r="Y107" s="2038"/>
      <c r="Z107" s="2038"/>
      <c r="AA107" s="2038"/>
      <c r="AB107" s="2038"/>
      <c r="AC107" s="2038"/>
      <c r="AD107" s="2038"/>
      <c r="AE107" s="2038"/>
      <c r="AF107" s="2038"/>
      <c r="AG107" s="2038"/>
      <c r="AH107" s="2047"/>
      <c r="AI107" s="1189"/>
      <c r="AJ107" s="1189"/>
      <c r="AK107" s="1189"/>
      <c r="AL107" s="1189"/>
      <c r="AM107" s="1189"/>
      <c r="AN107" s="1189"/>
      <c r="AO107" s="1189"/>
      <c r="AP107" s="1189"/>
      <c r="AQ107" s="1189"/>
      <c r="AR107" s="1189"/>
      <c r="AS107" s="1189"/>
      <c r="AT107" s="1189"/>
      <c r="AU107" s="1189"/>
      <c r="AV107" s="1189"/>
      <c r="AW107" s="1189"/>
      <c r="AX107" s="1189"/>
      <c r="AY107" s="1189"/>
      <c r="AZ107" s="1189"/>
      <c r="BA107" s="1189"/>
      <c r="BB107" s="1189"/>
      <c r="BC107" s="1189"/>
      <c r="BD107" s="1189"/>
      <c r="BE107" s="1193"/>
      <c r="CM107" s="1187"/>
      <c r="CN107" s="1187"/>
      <c r="CO107" s="1187"/>
      <c r="CP107" s="1187"/>
    </row>
    <row r="108" spans="1:94" ht="16.5" customHeight="1">
      <c r="A108" s="1189"/>
      <c r="B108" s="2146"/>
      <c r="C108" s="2114"/>
      <c r="D108" s="2114"/>
      <c r="E108" s="2114"/>
      <c r="F108" s="2114"/>
      <c r="G108" s="2114"/>
      <c r="H108" s="2114"/>
      <c r="I108" s="2114" t="s">
        <v>2373</v>
      </c>
      <c r="J108" s="2114"/>
      <c r="K108" s="2114"/>
      <c r="L108" s="2114"/>
      <c r="M108" s="2114"/>
      <c r="N108" s="2114"/>
      <c r="O108" s="2114" t="s">
        <v>2349</v>
      </c>
      <c r="P108" s="2114"/>
      <c r="Q108" s="2114"/>
      <c r="R108" s="2114"/>
      <c r="S108" s="2114"/>
      <c r="T108" s="2114"/>
      <c r="U108" s="2114"/>
      <c r="V108" s="2150" t="s">
        <v>2348</v>
      </c>
      <c r="W108" s="2150"/>
      <c r="X108" s="2150"/>
      <c r="Y108" s="2150"/>
      <c r="Z108" s="2150"/>
      <c r="AA108" s="2150"/>
      <c r="AB108" s="2084" t="s">
        <v>2372</v>
      </c>
      <c r="AC108" s="2084"/>
      <c r="AD108" s="2084"/>
      <c r="AE108" s="2084"/>
      <c r="AF108" s="2084"/>
      <c r="AG108" s="2084"/>
      <c r="AH108" s="2151"/>
      <c r="AI108" s="1189"/>
      <c r="AJ108" s="1189"/>
      <c r="AK108" s="1189"/>
      <c r="AL108" s="1189"/>
      <c r="AM108" s="1189"/>
      <c r="AN108" s="1189"/>
      <c r="AO108" s="1189"/>
      <c r="AP108" s="1189"/>
      <c r="AQ108" s="1189"/>
      <c r="AR108" s="1189"/>
      <c r="AS108" s="1189"/>
      <c r="AT108" s="1189"/>
      <c r="AU108" s="1189"/>
      <c r="AV108" s="1189"/>
      <c r="AW108" s="1189"/>
      <c r="AX108" s="1189"/>
      <c r="AY108" s="1189"/>
      <c r="AZ108" s="1189"/>
      <c r="BA108" s="1189"/>
      <c r="BB108" s="1189"/>
      <c r="BC108" s="1189"/>
      <c r="BD108" s="1189"/>
      <c r="BE108" s="1193"/>
      <c r="CM108" s="1187"/>
      <c r="CN108" s="1187"/>
      <c r="CO108" s="1187"/>
      <c r="CP108" s="1187"/>
    </row>
    <row r="109" spans="1:94" ht="16.5" customHeight="1">
      <c r="A109" s="1189"/>
      <c r="B109" s="2146"/>
      <c r="C109" s="2114"/>
      <c r="D109" s="2114"/>
      <c r="E109" s="2114"/>
      <c r="F109" s="2114"/>
      <c r="G109" s="2114"/>
      <c r="H109" s="2114"/>
      <c r="I109" s="2114"/>
      <c r="J109" s="2114"/>
      <c r="K109" s="2114"/>
      <c r="L109" s="2114"/>
      <c r="M109" s="2114"/>
      <c r="N109" s="2114"/>
      <c r="O109" s="2114"/>
      <c r="P109" s="2114"/>
      <c r="Q109" s="2114"/>
      <c r="R109" s="2114"/>
      <c r="S109" s="2114"/>
      <c r="T109" s="2114"/>
      <c r="U109" s="2114"/>
      <c r="V109" s="2150"/>
      <c r="W109" s="2150"/>
      <c r="X109" s="2150"/>
      <c r="Y109" s="2150"/>
      <c r="Z109" s="2150"/>
      <c r="AA109" s="2150"/>
      <c r="AB109" s="2084"/>
      <c r="AC109" s="2084"/>
      <c r="AD109" s="2084"/>
      <c r="AE109" s="2084"/>
      <c r="AF109" s="2084"/>
      <c r="AG109" s="2084"/>
      <c r="AH109" s="2151"/>
      <c r="AI109" s="1189"/>
      <c r="AJ109" s="1189"/>
      <c r="AK109" s="1189"/>
      <c r="AL109" s="1189"/>
      <c r="AM109" s="1189"/>
      <c r="AN109" s="1189"/>
      <c r="AO109" s="1189"/>
      <c r="AP109" s="1189"/>
      <c r="AQ109" s="1189"/>
      <c r="AR109" s="1189"/>
      <c r="AS109" s="1189"/>
      <c r="AT109" s="1189"/>
      <c r="AU109" s="1189"/>
      <c r="AV109" s="1189"/>
      <c r="AW109" s="1189"/>
      <c r="AX109" s="1189"/>
      <c r="AY109" s="1189"/>
      <c r="AZ109" s="1189"/>
      <c r="BA109" s="1189"/>
      <c r="BB109" s="1189"/>
      <c r="BC109" s="1189"/>
      <c r="BD109" s="1189"/>
      <c r="BE109" s="1193"/>
      <c r="CM109" s="1187"/>
      <c r="CN109" s="1187"/>
      <c r="CO109" s="1187"/>
      <c r="CP109" s="1187"/>
    </row>
    <row r="110" spans="1:94" ht="15.75" customHeight="1">
      <c r="A110" s="1189"/>
      <c r="B110" s="2146" t="s">
        <v>2371</v>
      </c>
      <c r="C110" s="2114"/>
      <c r="D110" s="2114"/>
      <c r="E110" s="2114"/>
      <c r="F110" s="2114"/>
      <c r="G110" s="2114"/>
      <c r="H110" s="2114"/>
      <c r="I110" s="2087">
        <v>0</v>
      </c>
      <c r="J110" s="2087"/>
      <c r="K110" s="2087"/>
      <c r="L110" s="2087"/>
      <c r="M110" s="2087"/>
      <c r="N110" s="2087"/>
      <c r="O110" s="2087">
        <v>0</v>
      </c>
      <c r="P110" s="2087"/>
      <c r="Q110" s="2087"/>
      <c r="R110" s="2087"/>
      <c r="S110" s="2087"/>
      <c r="T110" s="2087"/>
      <c r="U110" s="2087"/>
      <c r="V110" s="2087">
        <v>0</v>
      </c>
      <c r="W110" s="2087"/>
      <c r="X110" s="2087"/>
      <c r="Y110" s="2087"/>
      <c r="Z110" s="2087"/>
      <c r="AA110" s="2087"/>
      <c r="AB110" s="2087">
        <v>0</v>
      </c>
      <c r="AC110" s="2087"/>
      <c r="AD110" s="2087"/>
      <c r="AE110" s="2087"/>
      <c r="AF110" s="2087"/>
      <c r="AG110" s="2087"/>
      <c r="AH110" s="2088"/>
      <c r="AI110" s="1189"/>
      <c r="AJ110" s="1189"/>
      <c r="AK110" s="1189"/>
      <c r="AL110" s="1189"/>
      <c r="AM110" s="1189"/>
      <c r="AN110" s="1189"/>
      <c r="AO110" s="1189"/>
      <c r="AP110" s="1189"/>
      <c r="AQ110" s="1189"/>
      <c r="AR110" s="1189"/>
      <c r="AS110" s="1189"/>
      <c r="AT110" s="1189"/>
      <c r="AU110" s="1189"/>
      <c r="AV110" s="1189"/>
      <c r="AW110" s="1189"/>
      <c r="AX110" s="1189"/>
      <c r="AY110" s="1189"/>
      <c r="AZ110" s="1189"/>
      <c r="BA110" s="1189"/>
      <c r="BB110" s="1189"/>
      <c r="BC110" s="1189"/>
      <c r="BD110" s="1189"/>
      <c r="BE110" s="1193"/>
      <c r="CM110" s="1187"/>
      <c r="CN110" s="1187"/>
      <c r="CO110" s="1187"/>
      <c r="CP110" s="1187"/>
    </row>
    <row r="111" spans="1:94" ht="15.75" customHeight="1">
      <c r="A111" s="1189"/>
      <c r="B111" s="2146" t="s">
        <v>2370</v>
      </c>
      <c r="C111" s="2114"/>
      <c r="D111" s="2114"/>
      <c r="E111" s="2114"/>
      <c r="F111" s="2114"/>
      <c r="G111" s="2114"/>
      <c r="H111" s="2114"/>
      <c r="I111" s="2087">
        <v>0</v>
      </c>
      <c r="J111" s="2087"/>
      <c r="K111" s="2087"/>
      <c r="L111" s="2087"/>
      <c r="M111" s="2087"/>
      <c r="N111" s="2087"/>
      <c r="O111" s="2087">
        <v>0</v>
      </c>
      <c r="P111" s="2087"/>
      <c r="Q111" s="2087"/>
      <c r="R111" s="2087"/>
      <c r="S111" s="2087"/>
      <c r="T111" s="2087"/>
      <c r="U111" s="2087"/>
      <c r="V111" s="2087">
        <v>0</v>
      </c>
      <c r="W111" s="2087"/>
      <c r="X111" s="2087"/>
      <c r="Y111" s="2087"/>
      <c r="Z111" s="2087"/>
      <c r="AA111" s="2087"/>
      <c r="AB111" s="2087">
        <v>0</v>
      </c>
      <c r="AC111" s="2087"/>
      <c r="AD111" s="2087"/>
      <c r="AE111" s="2087"/>
      <c r="AF111" s="2087"/>
      <c r="AG111" s="2087"/>
      <c r="AH111" s="2088"/>
      <c r="AI111" s="1189"/>
      <c r="AJ111" s="1189"/>
      <c r="AK111" s="1189"/>
      <c r="AL111" s="1189"/>
      <c r="AM111" s="1189"/>
      <c r="AN111" s="1189"/>
      <c r="AO111" s="1189"/>
      <c r="AP111" s="1189"/>
      <c r="AQ111" s="1189"/>
      <c r="AR111" s="1189"/>
      <c r="AS111" s="1189"/>
      <c r="AT111" s="1189"/>
      <c r="AU111" s="1189"/>
      <c r="AV111" s="1189"/>
      <c r="AW111" s="1189"/>
      <c r="AX111" s="1189"/>
      <c r="AY111" s="1189"/>
      <c r="AZ111" s="1189"/>
      <c r="BA111" s="1189"/>
      <c r="BB111" s="1189"/>
      <c r="BC111" s="1189"/>
      <c r="BD111" s="1189"/>
      <c r="BE111" s="1193"/>
      <c r="CM111" s="1187"/>
      <c r="CN111" s="1187"/>
      <c r="CO111" s="1187"/>
      <c r="CP111" s="1187"/>
    </row>
    <row r="112" spans="1:94" ht="15.75" customHeight="1" thickBot="1">
      <c r="A112" s="1189"/>
      <c r="B112" s="2144" t="s">
        <v>2369</v>
      </c>
      <c r="C112" s="2145"/>
      <c r="D112" s="2145"/>
      <c r="E112" s="2145"/>
      <c r="F112" s="2145"/>
      <c r="G112" s="2145"/>
      <c r="H112" s="2145"/>
      <c r="I112" s="2081">
        <v>0</v>
      </c>
      <c r="J112" s="2081"/>
      <c r="K112" s="2081"/>
      <c r="L112" s="2081"/>
      <c r="M112" s="2081"/>
      <c r="N112" s="2081"/>
      <c r="O112" s="2081">
        <v>0</v>
      </c>
      <c r="P112" s="2081"/>
      <c r="Q112" s="2081"/>
      <c r="R112" s="2081"/>
      <c r="S112" s="2081"/>
      <c r="T112" s="2081"/>
      <c r="U112" s="2081"/>
      <c r="V112" s="2081">
        <v>0</v>
      </c>
      <c r="W112" s="2081"/>
      <c r="X112" s="2081"/>
      <c r="Y112" s="2081"/>
      <c r="Z112" s="2081"/>
      <c r="AA112" s="2081"/>
      <c r="AB112" s="2081">
        <v>0</v>
      </c>
      <c r="AC112" s="2081"/>
      <c r="AD112" s="2081"/>
      <c r="AE112" s="2081"/>
      <c r="AF112" s="2081"/>
      <c r="AG112" s="2081"/>
      <c r="AH112" s="2082"/>
      <c r="AI112" s="1189"/>
      <c r="AJ112" s="1189"/>
      <c r="AK112" s="1189"/>
      <c r="AL112" s="1189"/>
      <c r="AM112" s="1189"/>
      <c r="AN112" s="1189"/>
      <c r="AO112" s="1189"/>
      <c r="AP112" s="1189"/>
      <c r="AQ112" s="1189"/>
      <c r="AR112" s="1189"/>
      <c r="AS112" s="1189"/>
      <c r="AT112" s="1189"/>
      <c r="AU112" s="1189"/>
      <c r="AV112" s="1189"/>
      <c r="AW112" s="1189"/>
      <c r="AX112" s="1189"/>
      <c r="AY112" s="1189"/>
      <c r="AZ112" s="1189"/>
      <c r="BA112" s="1189"/>
      <c r="BB112" s="1189"/>
      <c r="BC112" s="1189"/>
      <c r="BD112" s="1189"/>
      <c r="BE112" s="1193"/>
      <c r="CM112" s="1187"/>
      <c r="CN112" s="1187"/>
      <c r="CO112" s="1187"/>
      <c r="CP112" s="1187"/>
    </row>
    <row r="113" spans="1:57" ht="15.75" customHeight="1" thickBot="1">
      <c r="A113" s="1189"/>
      <c r="B113" s="1189"/>
      <c r="C113" s="1189"/>
      <c r="D113" s="1189"/>
      <c r="E113" s="1189"/>
      <c r="F113" s="1189"/>
      <c r="G113" s="1189"/>
      <c r="H113" s="1189"/>
      <c r="I113" s="1189"/>
      <c r="J113" s="1189"/>
      <c r="K113" s="1189"/>
      <c r="L113" s="1189"/>
      <c r="M113" s="1189"/>
      <c r="N113" s="1189"/>
      <c r="O113" s="1189"/>
      <c r="P113" s="1189"/>
      <c r="Q113" s="1189"/>
      <c r="R113" s="1189"/>
      <c r="S113" s="1189"/>
      <c r="T113" s="1189"/>
      <c r="U113" s="1189" t="s">
        <v>250</v>
      </c>
      <c r="V113" s="1189"/>
      <c r="W113" s="1189"/>
      <c r="X113" s="1189"/>
      <c r="Y113" s="1189"/>
      <c r="Z113" s="1189"/>
      <c r="AA113" s="1189"/>
      <c r="AB113" s="1189"/>
      <c r="AC113" s="1189"/>
      <c r="AD113" s="1189"/>
      <c r="AE113" s="1189"/>
      <c r="AF113" s="1189"/>
      <c r="AG113" s="1189"/>
      <c r="AH113" s="1189"/>
      <c r="AI113" s="1189"/>
      <c r="AJ113" s="1189"/>
      <c r="AK113" s="1189"/>
      <c r="AL113" s="1189"/>
      <c r="AM113" s="1189"/>
      <c r="AN113" s="1189"/>
      <c r="AO113" s="1189"/>
      <c r="AP113" s="1189"/>
      <c r="AQ113" s="1189"/>
      <c r="AR113" s="1189"/>
      <c r="AS113" s="1189"/>
      <c r="AT113" s="1189"/>
      <c r="AU113" s="1189"/>
      <c r="AV113" s="1189"/>
      <c r="AW113" s="1189"/>
      <c r="AX113" s="1189"/>
      <c r="AY113" s="1189"/>
      <c r="AZ113" s="1189"/>
      <c r="BA113" s="1189"/>
      <c r="BB113" s="1189"/>
      <c r="BC113" s="1189"/>
      <c r="BD113" s="1189"/>
      <c r="BE113" s="1193"/>
    </row>
    <row r="114" spans="1:57" ht="15.75" customHeight="1" thickBot="1">
      <c r="A114" s="1189"/>
      <c r="B114" s="1201" t="s">
        <v>2368</v>
      </c>
      <c r="C114" s="1207"/>
      <c r="D114" s="1207"/>
      <c r="E114" s="1207"/>
      <c r="F114" s="1207"/>
      <c r="G114" s="1207"/>
      <c r="H114" s="1207"/>
      <c r="I114" s="1207"/>
      <c r="J114" s="1207"/>
      <c r="K114" s="1207"/>
      <c r="L114" s="1207"/>
      <c r="M114" s="1207"/>
      <c r="N114" s="1207"/>
      <c r="O114" s="1207"/>
      <c r="P114" s="1207"/>
      <c r="Q114" s="1207"/>
      <c r="R114" s="1223"/>
      <c r="S114" s="1189"/>
      <c r="T114" s="1189"/>
      <c r="U114" s="1189"/>
      <c r="V114" s="1189"/>
      <c r="W114" s="1189"/>
      <c r="X114" s="1189"/>
      <c r="Y114" s="1189"/>
      <c r="Z114" s="1189"/>
      <c r="AA114" s="1189"/>
      <c r="AB114" s="1189"/>
      <c r="AC114" s="1189"/>
      <c r="AD114" s="1189"/>
      <c r="AE114" s="1189"/>
      <c r="AF114" s="1189"/>
      <c r="AG114" s="1189"/>
      <c r="AH114" s="1189"/>
      <c r="AI114" s="1189"/>
      <c r="AJ114" s="1189"/>
      <c r="AK114" s="1189"/>
      <c r="AL114" s="1189"/>
      <c r="AM114" s="1189"/>
      <c r="AN114" s="1189"/>
      <c r="AO114" s="1189"/>
      <c r="AP114" s="1189"/>
      <c r="AQ114" s="1189"/>
      <c r="AR114" s="1189"/>
      <c r="AS114" s="1189"/>
      <c r="AT114" s="1189"/>
      <c r="AU114" s="1189"/>
      <c r="AV114" s="1189"/>
      <c r="AW114" s="1189"/>
      <c r="AX114" s="1189"/>
      <c r="AY114" s="1189"/>
      <c r="AZ114" s="1189"/>
      <c r="BA114" s="1189"/>
      <c r="BB114" s="1189"/>
      <c r="BC114" s="1189"/>
      <c r="BD114" s="1189"/>
      <c r="BE114" s="1193"/>
    </row>
    <row r="115" spans="1:57" ht="15.75" customHeight="1">
      <c r="A115" s="1189"/>
      <c r="B115" s="1211" t="s">
        <v>2286</v>
      </c>
      <c r="C115" s="1211"/>
      <c r="D115" s="1216"/>
      <c r="E115" s="1217"/>
      <c r="F115" s="2108"/>
      <c r="G115" s="2109"/>
      <c r="H115" s="2109"/>
      <c r="I115" s="2109"/>
      <c r="J115" s="2109"/>
      <c r="K115" s="2109"/>
      <c r="L115" s="2109"/>
      <c r="M115" s="2109"/>
      <c r="N115" s="2109"/>
      <c r="O115" s="2109"/>
      <c r="P115" s="2109"/>
      <c r="Q115" s="2109"/>
      <c r="R115" s="2110"/>
      <c r="S115" s="1189"/>
      <c r="T115" s="1189"/>
      <c r="U115" s="1189"/>
      <c r="V115" s="1189"/>
      <c r="W115" s="1189"/>
      <c r="X115" s="1189"/>
      <c r="Y115" s="1189"/>
      <c r="Z115" s="1189"/>
      <c r="AA115" s="1189"/>
      <c r="AB115" s="1189"/>
      <c r="AC115" s="1189"/>
      <c r="AD115" s="1189"/>
      <c r="AE115" s="1189"/>
      <c r="AF115" s="1189"/>
      <c r="AG115" s="1189"/>
      <c r="AH115" s="1189"/>
      <c r="AI115" s="1189"/>
      <c r="AJ115" s="1189"/>
      <c r="AK115" s="1189"/>
      <c r="AL115" s="1189"/>
      <c r="AM115" s="1189"/>
      <c r="AN115" s="1189"/>
      <c r="AO115" s="1189"/>
      <c r="AP115" s="1189"/>
      <c r="AQ115" s="1189"/>
      <c r="AR115" s="1189"/>
      <c r="AS115" s="1189"/>
      <c r="AT115" s="1189"/>
      <c r="AU115" s="1189"/>
      <c r="AV115" s="1189"/>
      <c r="AW115" s="1189"/>
      <c r="AX115" s="1189"/>
      <c r="AY115" s="1189"/>
      <c r="AZ115" s="1189"/>
      <c r="BA115" s="1189"/>
      <c r="BB115" s="1189"/>
      <c r="BC115" s="1189"/>
      <c r="BD115" s="1189"/>
      <c r="BE115" s="1193"/>
    </row>
    <row r="116" spans="1:57" ht="15.75" customHeight="1" thickBot="1">
      <c r="A116" s="1189"/>
      <c r="B116" s="1189"/>
      <c r="C116" s="1189"/>
      <c r="D116" s="1189"/>
      <c r="E116" s="1189"/>
      <c r="F116" s="1189"/>
      <c r="G116" s="1189"/>
      <c r="H116" s="1189"/>
      <c r="I116" s="1189"/>
      <c r="J116" s="1189"/>
      <c r="K116" s="1189"/>
      <c r="L116" s="1189"/>
      <c r="M116" s="1189"/>
      <c r="N116" s="1189"/>
      <c r="O116" s="1189"/>
      <c r="P116" s="1189"/>
      <c r="Q116" s="1189"/>
      <c r="R116" s="1189"/>
      <c r="S116" s="1189"/>
      <c r="T116" s="1189"/>
      <c r="U116" s="1189"/>
      <c r="V116" s="1189"/>
      <c r="W116" s="1189"/>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189"/>
      <c r="AS116" s="1189"/>
      <c r="AT116" s="1189"/>
      <c r="AU116" s="1189"/>
      <c r="AV116" s="1189"/>
      <c r="AW116" s="1189"/>
      <c r="AX116" s="1189"/>
      <c r="AY116" s="1189"/>
      <c r="AZ116" s="1189"/>
      <c r="BA116" s="1189"/>
      <c r="BB116" s="1189"/>
      <c r="BC116" s="1189"/>
      <c r="BD116" s="1189"/>
      <c r="BE116" s="1193"/>
    </row>
    <row r="117" spans="1:57" ht="15.75" customHeight="1">
      <c r="A117" s="1189"/>
      <c r="B117" s="2119" t="s">
        <v>2367</v>
      </c>
      <c r="C117" s="2120"/>
      <c r="D117" s="2120"/>
      <c r="E117" s="2120"/>
      <c r="F117" s="2120"/>
      <c r="G117" s="2120"/>
      <c r="H117" s="2120"/>
      <c r="I117" s="2120"/>
      <c r="J117" s="2120"/>
      <c r="K117" s="2120"/>
      <c r="L117" s="2120"/>
      <c r="M117" s="2120"/>
      <c r="N117" s="2120"/>
      <c r="O117" s="2120"/>
      <c r="P117" s="2120"/>
      <c r="Q117" s="2120"/>
      <c r="R117" s="2120"/>
      <c r="S117" s="2120"/>
      <c r="T117" s="2120"/>
      <c r="U117" s="2123" t="s">
        <v>546</v>
      </c>
      <c r="V117" s="2123"/>
      <c r="W117" s="2123"/>
      <c r="X117" s="2124"/>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189"/>
      <c r="AS117" s="1189"/>
      <c r="AT117" s="1189"/>
      <c r="AU117" s="1189"/>
      <c r="AV117" s="1189"/>
      <c r="AW117" s="1189"/>
      <c r="AX117" s="1189"/>
      <c r="AY117" s="1189"/>
      <c r="AZ117" s="1189"/>
      <c r="BA117" s="1189"/>
      <c r="BB117" s="1189"/>
      <c r="BC117" s="1189"/>
      <c r="BD117" s="1189"/>
      <c r="BE117" s="1193"/>
    </row>
    <row r="118" spans="1:57" ht="15.75" customHeight="1">
      <c r="A118" s="1189"/>
      <c r="B118" s="2121"/>
      <c r="C118" s="2122"/>
      <c r="D118" s="2122"/>
      <c r="E118" s="2122"/>
      <c r="F118" s="2122"/>
      <c r="G118" s="2122"/>
      <c r="H118" s="2122"/>
      <c r="I118" s="2122"/>
      <c r="J118" s="2122"/>
      <c r="K118" s="2122"/>
      <c r="L118" s="2122"/>
      <c r="M118" s="2122"/>
      <c r="N118" s="2122"/>
      <c r="O118" s="2122"/>
      <c r="P118" s="2122"/>
      <c r="Q118" s="2122"/>
      <c r="R118" s="2122"/>
      <c r="S118" s="2122"/>
      <c r="T118" s="2122"/>
      <c r="U118" s="2125"/>
      <c r="V118" s="2125"/>
      <c r="W118" s="2125"/>
      <c r="X118" s="2126"/>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189"/>
      <c r="AS118" s="1189"/>
      <c r="AT118" s="1189"/>
      <c r="AU118" s="1189"/>
      <c r="AV118" s="1189"/>
      <c r="AW118" s="1189"/>
      <c r="AX118" s="1189"/>
      <c r="AY118" s="1189"/>
      <c r="AZ118" s="1189"/>
      <c r="BA118" s="1189"/>
      <c r="BB118" s="1189"/>
      <c r="BC118" s="1189"/>
      <c r="BD118" s="1189"/>
      <c r="BE118" s="1193"/>
    </row>
    <row r="119" spans="1:57" ht="15.75" customHeight="1">
      <c r="A119" s="1189"/>
      <c r="B119" s="2121"/>
      <c r="C119" s="2122"/>
      <c r="D119" s="2122"/>
      <c r="E119" s="2122"/>
      <c r="F119" s="2122"/>
      <c r="G119" s="2122"/>
      <c r="H119" s="2122"/>
      <c r="I119" s="2122"/>
      <c r="J119" s="2122"/>
      <c r="K119" s="2122"/>
      <c r="L119" s="2122"/>
      <c r="M119" s="2122"/>
      <c r="N119" s="2122"/>
      <c r="O119" s="2122"/>
      <c r="P119" s="2122"/>
      <c r="Q119" s="2122"/>
      <c r="R119" s="2122"/>
      <c r="S119" s="2122"/>
      <c r="T119" s="2122"/>
      <c r="U119" s="2125"/>
      <c r="V119" s="2125"/>
      <c r="W119" s="2125"/>
      <c r="X119" s="2126"/>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189"/>
      <c r="AS119" s="1189"/>
      <c r="AT119" s="1189"/>
      <c r="AU119" s="1189"/>
      <c r="AV119" s="1189"/>
      <c r="AW119" s="1189"/>
      <c r="AX119" s="1189"/>
      <c r="AY119" s="1189"/>
      <c r="AZ119" s="1189"/>
      <c r="BA119" s="1189"/>
      <c r="BB119" s="1189"/>
      <c r="BC119" s="1189"/>
      <c r="BD119" s="1189"/>
      <c r="BE119" s="1193"/>
    </row>
    <row r="120" spans="1:57" ht="15.75" customHeight="1">
      <c r="A120" s="1189"/>
      <c r="B120" s="2121"/>
      <c r="C120" s="2122"/>
      <c r="D120" s="2122"/>
      <c r="E120" s="2122"/>
      <c r="F120" s="2122"/>
      <c r="G120" s="2122"/>
      <c r="H120" s="2122"/>
      <c r="I120" s="2122"/>
      <c r="J120" s="2122"/>
      <c r="K120" s="2122"/>
      <c r="L120" s="2122"/>
      <c r="M120" s="2122"/>
      <c r="N120" s="2122"/>
      <c r="O120" s="2122"/>
      <c r="P120" s="2122"/>
      <c r="Q120" s="2122"/>
      <c r="R120" s="2122"/>
      <c r="S120" s="2122"/>
      <c r="T120" s="2122"/>
      <c r="U120" s="2125"/>
      <c r="V120" s="2125"/>
      <c r="W120" s="2125"/>
      <c r="X120" s="2126"/>
      <c r="Y120" s="1189"/>
      <c r="Z120" s="1189"/>
      <c r="AA120" s="1189"/>
      <c r="AB120" s="1189"/>
      <c r="AC120" s="1189"/>
      <c r="AD120" s="1189"/>
      <c r="AE120" s="1189"/>
      <c r="AF120" s="1189"/>
      <c r="AG120" s="1189"/>
      <c r="AH120" s="1189"/>
      <c r="AI120" s="1189"/>
      <c r="AJ120" s="1189"/>
      <c r="AK120" s="1189"/>
      <c r="AL120" s="1189"/>
      <c r="AM120" s="1189"/>
      <c r="AN120" s="1189"/>
      <c r="AO120" s="1189"/>
      <c r="AP120" s="1189"/>
      <c r="AQ120" s="1189"/>
      <c r="AR120" s="1189"/>
      <c r="AS120" s="1189"/>
      <c r="AT120" s="1189"/>
      <c r="AU120" s="1189"/>
      <c r="AV120" s="1189"/>
      <c r="AW120" s="1189"/>
      <c r="AX120" s="1189"/>
      <c r="AY120" s="1189"/>
      <c r="AZ120" s="1189"/>
      <c r="BA120" s="1189"/>
      <c r="BB120" s="1189"/>
      <c r="BC120" s="1189"/>
      <c r="BD120" s="1189"/>
      <c r="BE120" s="1193"/>
    </row>
    <row r="121" spans="1:57" ht="15.75" customHeight="1">
      <c r="A121" s="1189"/>
      <c r="B121" s="2127" t="s">
        <v>2367</v>
      </c>
      <c r="C121" s="2128"/>
      <c r="D121" s="2128"/>
      <c r="E121" s="2128"/>
      <c r="F121" s="2128"/>
      <c r="G121" s="2128"/>
      <c r="H121" s="2128"/>
      <c r="I121" s="2128"/>
      <c r="J121" s="2128"/>
      <c r="K121" s="2128"/>
      <c r="L121" s="2128"/>
      <c r="M121" s="2128"/>
      <c r="N121" s="2128"/>
      <c r="O121" s="2128"/>
      <c r="P121" s="2128"/>
      <c r="Q121" s="2128"/>
      <c r="R121" s="2128"/>
      <c r="S121" s="2128"/>
      <c r="T121" s="2128"/>
      <c r="U121" s="2131" t="s">
        <v>546</v>
      </c>
      <c r="V121" s="2131"/>
      <c r="W121" s="2131"/>
      <c r="X121" s="2132"/>
      <c r="Y121" s="1189"/>
      <c r="Z121" s="1189"/>
      <c r="AA121" s="1189"/>
      <c r="AB121" s="1189"/>
      <c r="AC121" s="1189"/>
      <c r="AD121" s="1189"/>
      <c r="AE121" s="1189"/>
      <c r="AF121" s="1189"/>
      <c r="AG121" s="1189"/>
      <c r="AH121" s="1189"/>
      <c r="AI121" s="1189"/>
      <c r="AJ121" s="1189"/>
      <c r="AK121" s="1189"/>
      <c r="AL121" s="1189"/>
      <c r="AM121" s="1189"/>
      <c r="AN121" s="1189"/>
      <c r="AO121" s="1189"/>
      <c r="AP121" s="1189"/>
      <c r="AQ121" s="1189"/>
      <c r="AR121" s="1189"/>
      <c r="AS121" s="1189"/>
      <c r="AT121" s="1189"/>
      <c r="AU121" s="1189"/>
      <c r="AV121" s="1189"/>
      <c r="AW121" s="1189"/>
      <c r="AX121" s="1189"/>
      <c r="AY121" s="1189"/>
      <c r="AZ121" s="1189"/>
      <c r="BA121" s="1189"/>
      <c r="BB121" s="1189"/>
      <c r="BC121" s="1189"/>
      <c r="BD121" s="1189"/>
      <c r="BE121" s="1193"/>
    </row>
    <row r="122" spans="1:57" ht="15.75" customHeight="1" thickBot="1">
      <c r="A122" s="1189"/>
      <c r="B122" s="2129"/>
      <c r="C122" s="2130"/>
      <c r="D122" s="2130"/>
      <c r="E122" s="2130"/>
      <c r="F122" s="2130"/>
      <c r="G122" s="2130"/>
      <c r="H122" s="2130"/>
      <c r="I122" s="2130"/>
      <c r="J122" s="2130"/>
      <c r="K122" s="2130"/>
      <c r="L122" s="2130"/>
      <c r="M122" s="2130"/>
      <c r="N122" s="2130"/>
      <c r="O122" s="2130"/>
      <c r="P122" s="2130"/>
      <c r="Q122" s="2130"/>
      <c r="R122" s="2130"/>
      <c r="S122" s="2130"/>
      <c r="T122" s="2130"/>
      <c r="U122" s="2133"/>
      <c r="V122" s="2133"/>
      <c r="W122" s="2133"/>
      <c r="X122" s="2134"/>
      <c r="Y122" s="1189"/>
      <c r="Z122" s="1189"/>
      <c r="AA122" s="1189"/>
      <c r="AB122" s="1189"/>
      <c r="AC122" s="1189"/>
      <c r="AD122" s="1189"/>
      <c r="AE122" s="1189"/>
      <c r="AF122" s="1189"/>
      <c r="AG122" s="1189"/>
      <c r="AH122" s="1189"/>
      <c r="AI122" s="1189"/>
      <c r="AJ122" s="1189"/>
      <c r="AK122" s="1189"/>
      <c r="AL122" s="1189"/>
      <c r="AM122" s="1189"/>
      <c r="AN122" s="1189"/>
      <c r="AO122" s="1189"/>
      <c r="AP122" s="1189"/>
      <c r="AQ122" s="1189"/>
      <c r="AR122" s="1189"/>
      <c r="AS122" s="1189"/>
      <c r="AT122" s="1189"/>
      <c r="AU122" s="1189"/>
      <c r="AV122" s="1189"/>
      <c r="AW122" s="1189"/>
      <c r="AX122" s="1189"/>
      <c r="AY122" s="1189"/>
      <c r="AZ122" s="1189"/>
      <c r="BA122" s="1189"/>
      <c r="BB122" s="1189"/>
      <c r="BC122" s="1189"/>
      <c r="BD122" s="1189"/>
      <c r="BE122" s="1193"/>
    </row>
    <row r="123" spans="1:57" ht="15.75" customHeight="1" thickBot="1">
      <c r="A123" s="1189"/>
      <c r="B123" s="1189"/>
      <c r="C123" s="1189"/>
      <c r="D123" s="1189"/>
      <c r="E123" s="1189"/>
      <c r="F123" s="1189"/>
      <c r="G123" s="1189"/>
      <c r="H123" s="1189"/>
      <c r="I123" s="1189"/>
      <c r="J123" s="1189"/>
      <c r="K123" s="1189"/>
      <c r="L123" s="1189"/>
      <c r="M123" s="1189"/>
      <c r="N123" s="1189"/>
      <c r="O123" s="1189"/>
      <c r="P123" s="1189"/>
      <c r="Q123" s="1189"/>
      <c r="R123" s="1189"/>
      <c r="S123" s="1189"/>
      <c r="T123" s="1189"/>
      <c r="U123" s="1189"/>
      <c r="V123" s="1189"/>
      <c r="W123" s="1189"/>
      <c r="X123" s="1189"/>
      <c r="Y123" s="1189"/>
      <c r="Z123" s="1189"/>
      <c r="AA123" s="1189"/>
      <c r="AB123" s="1189"/>
      <c r="AC123" s="1189"/>
      <c r="AD123" s="1189"/>
      <c r="AE123" s="1189"/>
      <c r="AF123" s="1189"/>
      <c r="AG123" s="1189"/>
      <c r="AH123" s="1189"/>
      <c r="AI123" s="1189"/>
      <c r="AJ123" s="1189"/>
      <c r="AK123" s="1189"/>
      <c r="AL123" s="1189"/>
      <c r="AM123" s="1189"/>
      <c r="AN123" s="1189"/>
      <c r="AO123" s="1189"/>
      <c r="AP123" s="1189"/>
      <c r="AQ123" s="1189"/>
      <c r="AR123" s="1189"/>
      <c r="AS123" s="1189"/>
      <c r="AT123" s="1189"/>
      <c r="AU123" s="1189"/>
      <c r="AV123" s="1189"/>
      <c r="AW123" s="1189"/>
      <c r="AX123" s="1189"/>
      <c r="AY123" s="1189"/>
      <c r="AZ123" s="1189"/>
      <c r="BA123" s="1189"/>
      <c r="BB123" s="1189"/>
      <c r="BC123" s="1189"/>
      <c r="BD123" s="1189"/>
      <c r="BE123" s="1193"/>
    </row>
    <row r="124" spans="1:57" ht="15.75" customHeight="1" thickBot="1">
      <c r="A124" s="1189"/>
      <c r="B124" s="1208" t="s">
        <v>2366</v>
      </c>
      <c r="C124" s="1203"/>
      <c r="D124" s="1203"/>
      <c r="E124" s="1203"/>
      <c r="F124" s="1203"/>
      <c r="G124" s="1203"/>
      <c r="H124" s="1203"/>
      <c r="I124" s="1203"/>
      <c r="J124" s="1203"/>
      <c r="K124" s="1203"/>
      <c r="L124" s="1203"/>
      <c r="M124" s="1203"/>
      <c r="N124" s="1203"/>
      <c r="O124" s="1203"/>
      <c r="P124" s="1203"/>
      <c r="Q124" s="1203"/>
      <c r="R124" s="1204"/>
      <c r="S124" s="1189"/>
      <c r="T124" s="1189"/>
      <c r="U124" s="1189"/>
      <c r="V124" s="1189"/>
      <c r="W124" s="1189"/>
      <c r="X124" s="1189"/>
      <c r="Y124" s="1189"/>
      <c r="Z124" s="1189"/>
      <c r="AA124" s="1189"/>
      <c r="AB124" s="1189"/>
      <c r="AC124" s="1189"/>
      <c r="AD124" s="1189"/>
      <c r="AE124" s="1189"/>
      <c r="AF124" s="1189"/>
      <c r="AG124" s="1189"/>
      <c r="AH124" s="1189"/>
      <c r="AI124" s="1189"/>
      <c r="AJ124" s="1189"/>
      <c r="AK124" s="1189"/>
      <c r="AL124" s="1189"/>
      <c r="AM124" s="1189"/>
      <c r="AN124" s="1189"/>
      <c r="AO124" s="1189"/>
      <c r="AP124" s="1189"/>
      <c r="AQ124" s="1189"/>
      <c r="AR124" s="1189"/>
      <c r="AS124" s="1189"/>
      <c r="AT124" s="1189"/>
      <c r="AU124" s="1189"/>
      <c r="AV124" s="1189"/>
      <c r="AW124" s="1189"/>
      <c r="AX124" s="1189"/>
      <c r="AY124" s="1189"/>
      <c r="AZ124" s="1189"/>
      <c r="BA124" s="1189"/>
      <c r="BB124" s="1189"/>
      <c r="BC124" s="1189"/>
      <c r="BD124" s="1189"/>
      <c r="BE124" s="1193"/>
    </row>
    <row r="125" spans="1:57" ht="15.75" customHeight="1" thickBot="1">
      <c r="A125" s="1189"/>
      <c r="B125" s="1189"/>
      <c r="C125" s="1189"/>
      <c r="D125" s="1189"/>
      <c r="E125" s="1189"/>
      <c r="F125" s="1189"/>
      <c r="G125" s="1189"/>
      <c r="H125" s="1189"/>
      <c r="I125" s="1189"/>
      <c r="J125" s="1189"/>
      <c r="K125" s="1189"/>
      <c r="L125" s="1189"/>
      <c r="M125" s="1189"/>
      <c r="N125" s="1189"/>
      <c r="O125" s="1189"/>
      <c r="P125" s="1222"/>
      <c r="Q125" s="1189"/>
      <c r="R125" s="1189"/>
      <c r="S125" s="1189"/>
      <c r="T125" s="1189"/>
      <c r="U125" s="1189"/>
      <c r="V125" s="1189"/>
      <c r="W125" s="1189"/>
      <c r="X125" s="2135" t="s">
        <v>2365</v>
      </c>
      <c r="Y125" s="2136"/>
      <c r="Z125" s="2136"/>
      <c r="AA125" s="2136"/>
      <c r="AB125" s="2136"/>
      <c r="AC125" s="2136"/>
      <c r="AD125" s="2136"/>
      <c r="AE125" s="2136"/>
      <c r="AF125" s="2136"/>
      <c r="AG125" s="2136"/>
      <c r="AH125" s="2136"/>
      <c r="AI125" s="2136"/>
      <c r="AJ125" s="2136"/>
      <c r="AK125" s="2136"/>
      <c r="AL125" s="2136"/>
      <c r="AM125" s="2136"/>
      <c r="AN125" s="2136"/>
      <c r="AO125" s="2136"/>
      <c r="AP125" s="2136"/>
      <c r="AQ125" s="2136"/>
      <c r="AR125" s="2136"/>
      <c r="AS125" s="2136"/>
      <c r="AT125" s="2136"/>
      <c r="AU125" s="2136"/>
      <c r="AV125" s="2136"/>
      <c r="AW125" s="2136"/>
      <c r="AX125" s="2136"/>
      <c r="AY125" s="2136"/>
      <c r="AZ125" s="2136"/>
      <c r="BA125" s="2136"/>
      <c r="BB125" s="2136"/>
      <c r="BC125" s="2136"/>
      <c r="BD125" s="2137"/>
      <c r="BE125" s="1193"/>
    </row>
    <row r="126" spans="1:57" ht="15.75" customHeight="1">
      <c r="A126" s="1189"/>
      <c r="B126" s="2141" t="s">
        <v>1577</v>
      </c>
      <c r="C126" s="2142"/>
      <c r="D126" s="2142"/>
      <c r="E126" s="2142"/>
      <c r="F126" s="2142"/>
      <c r="G126" s="2142"/>
      <c r="H126" s="2142"/>
      <c r="I126" s="2142"/>
      <c r="J126" s="2142"/>
      <c r="K126" s="2142"/>
      <c r="L126" s="2142"/>
      <c r="M126" s="2142"/>
      <c r="N126" s="2142"/>
      <c r="O126" s="2142"/>
      <c r="P126" s="2142"/>
      <c r="Q126" s="2142"/>
      <c r="R126" s="2142"/>
      <c r="S126" s="2142"/>
      <c r="T126" s="2142"/>
      <c r="U126" s="2143"/>
      <c r="V126" s="1189"/>
      <c r="W126" s="1189"/>
      <c r="X126" s="2138"/>
      <c r="Y126" s="2139"/>
      <c r="Z126" s="2139"/>
      <c r="AA126" s="2139"/>
      <c r="AB126" s="2139"/>
      <c r="AC126" s="2139"/>
      <c r="AD126" s="2139"/>
      <c r="AE126" s="2139"/>
      <c r="AF126" s="2139"/>
      <c r="AG126" s="2139"/>
      <c r="AH126" s="2139"/>
      <c r="AI126" s="2139"/>
      <c r="AJ126" s="2139"/>
      <c r="AK126" s="2139"/>
      <c r="AL126" s="2139"/>
      <c r="AM126" s="2139"/>
      <c r="AN126" s="2139"/>
      <c r="AO126" s="2139"/>
      <c r="AP126" s="2139"/>
      <c r="AQ126" s="2139"/>
      <c r="AR126" s="2139"/>
      <c r="AS126" s="2139"/>
      <c r="AT126" s="2139"/>
      <c r="AU126" s="2139"/>
      <c r="AV126" s="2139"/>
      <c r="AW126" s="2139"/>
      <c r="AX126" s="2139"/>
      <c r="AY126" s="2139"/>
      <c r="AZ126" s="2139"/>
      <c r="BA126" s="2139"/>
      <c r="BB126" s="2139"/>
      <c r="BC126" s="2139"/>
      <c r="BD126" s="2140"/>
      <c r="BE126" s="1193"/>
    </row>
    <row r="127" spans="1:57" ht="15.75" customHeight="1">
      <c r="A127" s="1189"/>
      <c r="B127" s="2051"/>
      <c r="C127" s="2052"/>
      <c r="D127" s="2052"/>
      <c r="E127" s="2052"/>
      <c r="F127" s="2052"/>
      <c r="G127" s="2052"/>
      <c r="H127" s="2052"/>
      <c r="I127" s="2114" t="s">
        <v>2364</v>
      </c>
      <c r="J127" s="2114"/>
      <c r="K127" s="2114"/>
      <c r="L127" s="2114"/>
      <c r="M127" s="2114"/>
      <c r="N127" s="2114"/>
      <c r="O127" s="2115" t="s">
        <v>2363</v>
      </c>
      <c r="P127" s="2115"/>
      <c r="Q127" s="2115"/>
      <c r="R127" s="2115"/>
      <c r="S127" s="2115"/>
      <c r="T127" s="2115"/>
      <c r="U127" s="2116"/>
      <c r="V127" s="1189"/>
      <c r="W127" s="1189"/>
      <c r="X127" s="2054" t="s">
        <v>2333</v>
      </c>
      <c r="Y127" s="2055"/>
      <c r="Z127" s="2055"/>
      <c r="AA127" s="2055"/>
      <c r="AB127" s="2055"/>
      <c r="AC127" s="2055"/>
      <c r="AD127" s="2055"/>
      <c r="AE127" s="2055"/>
      <c r="AF127" s="2055"/>
      <c r="AG127" s="2055"/>
      <c r="AH127" s="2055"/>
      <c r="AI127" s="2055"/>
      <c r="AJ127" s="2055"/>
      <c r="AK127" s="2055"/>
      <c r="AL127" s="2055"/>
      <c r="AM127" s="2055"/>
      <c r="AN127" s="2055"/>
      <c r="AO127" s="2055"/>
      <c r="AP127" s="2055"/>
      <c r="AQ127" s="2055"/>
      <c r="AR127" s="2055"/>
      <c r="AS127" s="2055"/>
      <c r="AT127" s="2055"/>
      <c r="AU127" s="2055"/>
      <c r="AV127" s="2055"/>
      <c r="AW127" s="2055"/>
      <c r="AX127" s="2055"/>
      <c r="AY127" s="2055"/>
      <c r="AZ127" s="2055"/>
      <c r="BA127" s="2055"/>
      <c r="BB127" s="2055"/>
      <c r="BC127" s="2055"/>
      <c r="BD127" s="2056"/>
      <c r="BE127" s="1193"/>
    </row>
    <row r="128" spans="1:57" ht="15.75" customHeight="1">
      <c r="A128" s="1189"/>
      <c r="B128" s="2085" t="s">
        <v>2347</v>
      </c>
      <c r="C128" s="2086"/>
      <c r="D128" s="2086"/>
      <c r="E128" s="2086"/>
      <c r="F128" s="2086"/>
      <c r="G128" s="2086"/>
      <c r="H128" s="2086"/>
      <c r="I128" s="2087">
        <v>0</v>
      </c>
      <c r="J128" s="2087"/>
      <c r="K128" s="2087"/>
      <c r="L128" s="2087"/>
      <c r="M128" s="2087"/>
      <c r="N128" s="2087"/>
      <c r="O128" s="2087">
        <v>0</v>
      </c>
      <c r="P128" s="2087"/>
      <c r="Q128" s="2087"/>
      <c r="R128" s="2087"/>
      <c r="S128" s="2087"/>
      <c r="T128" s="2087"/>
      <c r="U128" s="2088"/>
      <c r="V128" s="1189"/>
      <c r="W128" s="1189"/>
      <c r="X128" s="2054"/>
      <c r="Y128" s="2055"/>
      <c r="Z128" s="2055"/>
      <c r="AA128" s="2055"/>
      <c r="AB128" s="2055"/>
      <c r="AC128" s="2055"/>
      <c r="AD128" s="2055"/>
      <c r="AE128" s="2055"/>
      <c r="AF128" s="2055"/>
      <c r="AG128" s="2055"/>
      <c r="AH128" s="2055"/>
      <c r="AI128" s="2055"/>
      <c r="AJ128" s="2055"/>
      <c r="AK128" s="2055"/>
      <c r="AL128" s="2055"/>
      <c r="AM128" s="2055"/>
      <c r="AN128" s="2055"/>
      <c r="AO128" s="2055"/>
      <c r="AP128" s="2055"/>
      <c r="AQ128" s="2055"/>
      <c r="AR128" s="2055"/>
      <c r="AS128" s="2055"/>
      <c r="AT128" s="2055"/>
      <c r="AU128" s="2055"/>
      <c r="AV128" s="2055"/>
      <c r="AW128" s="2055"/>
      <c r="AX128" s="2055"/>
      <c r="AY128" s="2055"/>
      <c r="AZ128" s="2055"/>
      <c r="BA128" s="2055"/>
      <c r="BB128" s="2055"/>
      <c r="BC128" s="2055"/>
      <c r="BD128" s="2056"/>
      <c r="BE128" s="1193"/>
    </row>
    <row r="129" spans="1:57" ht="15.75" customHeight="1" thickBot="1">
      <c r="A129" s="1189"/>
      <c r="B129" s="2079" t="s">
        <v>2346</v>
      </c>
      <c r="C129" s="2080"/>
      <c r="D129" s="2080"/>
      <c r="E129" s="2080"/>
      <c r="F129" s="2080"/>
      <c r="G129" s="2080"/>
      <c r="H129" s="2080"/>
      <c r="I129" s="2081">
        <v>0</v>
      </c>
      <c r="J129" s="2081"/>
      <c r="K129" s="2081"/>
      <c r="L129" s="2081"/>
      <c r="M129" s="2081"/>
      <c r="N129" s="2081"/>
      <c r="O129" s="2117"/>
      <c r="P129" s="2117"/>
      <c r="Q129" s="2117"/>
      <c r="R129" s="2117"/>
      <c r="S129" s="2117"/>
      <c r="T129" s="2117"/>
      <c r="U129" s="2118"/>
      <c r="V129" s="1189"/>
      <c r="W129" s="1189"/>
      <c r="X129" s="2054"/>
      <c r="Y129" s="2055"/>
      <c r="Z129" s="2055"/>
      <c r="AA129" s="2055"/>
      <c r="AB129" s="2055"/>
      <c r="AC129" s="2055"/>
      <c r="AD129" s="2055"/>
      <c r="AE129" s="2055"/>
      <c r="AF129" s="2055"/>
      <c r="AG129" s="2055"/>
      <c r="AH129" s="2055"/>
      <c r="AI129" s="2055"/>
      <c r="AJ129" s="2055"/>
      <c r="AK129" s="2055"/>
      <c r="AL129" s="2055"/>
      <c r="AM129" s="2055"/>
      <c r="AN129" s="2055"/>
      <c r="AO129" s="2055"/>
      <c r="AP129" s="2055"/>
      <c r="AQ129" s="2055"/>
      <c r="AR129" s="2055"/>
      <c r="AS129" s="2055"/>
      <c r="AT129" s="2055"/>
      <c r="AU129" s="2055"/>
      <c r="AV129" s="2055"/>
      <c r="AW129" s="2055"/>
      <c r="AX129" s="2055"/>
      <c r="AY129" s="2055"/>
      <c r="AZ129" s="2055"/>
      <c r="BA129" s="2055"/>
      <c r="BB129" s="2055"/>
      <c r="BC129" s="2055"/>
      <c r="BD129" s="2056"/>
      <c r="BE129" s="1193"/>
    </row>
    <row r="130" spans="1:57" ht="15.75" customHeight="1" thickBot="1">
      <c r="A130" s="1189"/>
      <c r="B130" s="1189"/>
      <c r="C130" s="1189"/>
      <c r="D130" s="1189"/>
      <c r="E130" s="1189"/>
      <c r="F130" s="1189"/>
      <c r="G130" s="1189"/>
      <c r="H130" s="1189"/>
      <c r="I130" s="1189"/>
      <c r="J130" s="1189"/>
      <c r="K130" s="1189"/>
      <c r="L130" s="1189"/>
      <c r="M130" s="1189"/>
      <c r="N130" s="1189"/>
      <c r="O130" s="1189"/>
      <c r="P130" s="1189"/>
      <c r="Q130" s="1189"/>
      <c r="R130" s="1189"/>
      <c r="S130" s="1189"/>
      <c r="T130" s="1189"/>
      <c r="U130" s="1189"/>
      <c r="V130" s="1189"/>
      <c r="W130" s="1189"/>
      <c r="X130" s="2054"/>
      <c r="Y130" s="2055"/>
      <c r="Z130" s="2055"/>
      <c r="AA130" s="2055"/>
      <c r="AB130" s="2055"/>
      <c r="AC130" s="2055"/>
      <c r="AD130" s="2055"/>
      <c r="AE130" s="2055"/>
      <c r="AF130" s="2055"/>
      <c r="AG130" s="2055"/>
      <c r="AH130" s="2055"/>
      <c r="AI130" s="2055"/>
      <c r="AJ130" s="2055"/>
      <c r="AK130" s="2055"/>
      <c r="AL130" s="2055"/>
      <c r="AM130" s="2055"/>
      <c r="AN130" s="2055"/>
      <c r="AO130" s="2055"/>
      <c r="AP130" s="2055"/>
      <c r="AQ130" s="2055"/>
      <c r="AR130" s="2055"/>
      <c r="AS130" s="2055"/>
      <c r="AT130" s="2055"/>
      <c r="AU130" s="2055"/>
      <c r="AV130" s="2055"/>
      <c r="AW130" s="2055"/>
      <c r="AX130" s="2055"/>
      <c r="AY130" s="2055"/>
      <c r="AZ130" s="2055"/>
      <c r="BA130" s="2055"/>
      <c r="BB130" s="2055"/>
      <c r="BC130" s="2055"/>
      <c r="BD130" s="2056"/>
      <c r="BE130" s="1193"/>
    </row>
    <row r="131" spans="1:57" ht="15.75" customHeight="1" thickBot="1">
      <c r="A131" s="1189"/>
      <c r="B131" s="1208" t="s">
        <v>2362</v>
      </c>
      <c r="C131" s="1209"/>
      <c r="D131" s="1209"/>
      <c r="E131" s="1209"/>
      <c r="F131" s="1209"/>
      <c r="G131" s="1209"/>
      <c r="H131" s="1209"/>
      <c r="I131" s="1209"/>
      <c r="J131" s="1209"/>
      <c r="K131" s="1209"/>
      <c r="L131" s="1209"/>
      <c r="M131" s="1209"/>
      <c r="N131" s="1209"/>
      <c r="O131" s="1209"/>
      <c r="P131" s="1210"/>
      <c r="Q131" s="1194" t="s">
        <v>250</v>
      </c>
      <c r="R131" s="1194" t="s">
        <v>250</v>
      </c>
      <c r="S131" s="1189"/>
      <c r="T131" s="1189"/>
      <c r="U131" s="1189"/>
      <c r="V131" s="1189" t="s">
        <v>250</v>
      </c>
      <c r="W131" s="1189"/>
      <c r="X131" s="2054"/>
      <c r="Y131" s="2055"/>
      <c r="Z131" s="2055"/>
      <c r="AA131" s="2055"/>
      <c r="AB131" s="2055"/>
      <c r="AC131" s="2055"/>
      <c r="AD131" s="2055"/>
      <c r="AE131" s="2055"/>
      <c r="AF131" s="2055"/>
      <c r="AG131" s="2055"/>
      <c r="AH131" s="2055"/>
      <c r="AI131" s="2055"/>
      <c r="AJ131" s="2055"/>
      <c r="AK131" s="2055"/>
      <c r="AL131" s="2055"/>
      <c r="AM131" s="2055"/>
      <c r="AN131" s="2055"/>
      <c r="AO131" s="2055"/>
      <c r="AP131" s="2055"/>
      <c r="AQ131" s="2055"/>
      <c r="AR131" s="2055"/>
      <c r="AS131" s="2055"/>
      <c r="AT131" s="2055"/>
      <c r="AU131" s="2055"/>
      <c r="AV131" s="2055"/>
      <c r="AW131" s="2055"/>
      <c r="AX131" s="2055"/>
      <c r="AY131" s="2055"/>
      <c r="AZ131" s="2055"/>
      <c r="BA131" s="2055"/>
      <c r="BB131" s="2055"/>
      <c r="BC131" s="2055"/>
      <c r="BD131" s="2056"/>
      <c r="BE131" s="1193"/>
    </row>
    <row r="132" spans="1:57" ht="15.75" customHeight="1" thickBot="1">
      <c r="A132" s="1189"/>
      <c r="B132" s="1189"/>
      <c r="C132" s="1189"/>
      <c r="D132" s="1189"/>
      <c r="E132" s="1189"/>
      <c r="F132" s="1189"/>
      <c r="G132" s="1189"/>
      <c r="H132" s="1189"/>
      <c r="I132" s="1189"/>
      <c r="J132" s="1189"/>
      <c r="K132" s="1189"/>
      <c r="L132" s="1189"/>
      <c r="M132" s="1189"/>
      <c r="N132" s="1189"/>
      <c r="O132" s="1189"/>
      <c r="P132" s="1189"/>
      <c r="Q132" s="1189"/>
      <c r="R132" s="1189"/>
      <c r="S132" s="1189"/>
      <c r="T132" s="1189"/>
      <c r="U132" s="1189"/>
      <c r="V132" s="1189"/>
      <c r="W132" s="1189"/>
      <c r="X132" s="2054"/>
      <c r="Y132" s="2055"/>
      <c r="Z132" s="2055"/>
      <c r="AA132" s="2055"/>
      <c r="AB132" s="2055"/>
      <c r="AC132" s="2055"/>
      <c r="AD132" s="2055"/>
      <c r="AE132" s="2055"/>
      <c r="AF132" s="2055"/>
      <c r="AG132" s="2055"/>
      <c r="AH132" s="2055"/>
      <c r="AI132" s="2055"/>
      <c r="AJ132" s="2055"/>
      <c r="AK132" s="2055"/>
      <c r="AL132" s="2055"/>
      <c r="AM132" s="2055"/>
      <c r="AN132" s="2055"/>
      <c r="AO132" s="2055"/>
      <c r="AP132" s="2055"/>
      <c r="AQ132" s="2055"/>
      <c r="AR132" s="2055"/>
      <c r="AS132" s="2055"/>
      <c r="AT132" s="2055"/>
      <c r="AU132" s="2055"/>
      <c r="AV132" s="2055"/>
      <c r="AW132" s="2055"/>
      <c r="AX132" s="2055"/>
      <c r="AY132" s="2055"/>
      <c r="AZ132" s="2055"/>
      <c r="BA132" s="2055"/>
      <c r="BB132" s="2055"/>
      <c r="BC132" s="2055"/>
      <c r="BD132" s="2056"/>
      <c r="BE132" s="1193"/>
    </row>
    <row r="133" spans="1:57" ht="15.75" customHeight="1">
      <c r="A133" s="1189"/>
      <c r="B133" s="2111" t="s">
        <v>2361</v>
      </c>
      <c r="C133" s="2112"/>
      <c r="D133" s="2112"/>
      <c r="E133" s="2112"/>
      <c r="F133" s="2112"/>
      <c r="G133" s="2112"/>
      <c r="H133" s="2112"/>
      <c r="I133" s="2112"/>
      <c r="J133" s="2112"/>
      <c r="K133" s="2112"/>
      <c r="L133" s="2112"/>
      <c r="M133" s="2112"/>
      <c r="N133" s="2112"/>
      <c r="O133" s="2112"/>
      <c r="P133" s="2112"/>
      <c r="Q133" s="2112"/>
      <c r="R133" s="2112"/>
      <c r="S133" s="2112"/>
      <c r="T133" s="2112"/>
      <c r="U133" s="2113"/>
      <c r="V133" s="1189"/>
      <c r="W133" s="1189"/>
      <c r="X133" s="2054"/>
      <c r="Y133" s="2055"/>
      <c r="Z133" s="2055"/>
      <c r="AA133" s="2055"/>
      <c r="AB133" s="2055"/>
      <c r="AC133" s="2055"/>
      <c r="AD133" s="2055"/>
      <c r="AE133" s="2055"/>
      <c r="AF133" s="2055"/>
      <c r="AG133" s="2055"/>
      <c r="AH133" s="2055"/>
      <c r="AI133" s="2055"/>
      <c r="AJ133" s="2055"/>
      <c r="AK133" s="2055"/>
      <c r="AL133" s="2055"/>
      <c r="AM133" s="2055"/>
      <c r="AN133" s="2055"/>
      <c r="AO133" s="2055"/>
      <c r="AP133" s="2055"/>
      <c r="AQ133" s="2055"/>
      <c r="AR133" s="2055"/>
      <c r="AS133" s="2055"/>
      <c r="AT133" s="2055"/>
      <c r="AU133" s="2055"/>
      <c r="AV133" s="2055"/>
      <c r="AW133" s="2055"/>
      <c r="AX133" s="2055"/>
      <c r="AY133" s="2055"/>
      <c r="AZ133" s="2055"/>
      <c r="BA133" s="2055"/>
      <c r="BB133" s="2055"/>
      <c r="BC133" s="2055"/>
      <c r="BD133" s="2056"/>
      <c r="BE133" s="1193"/>
    </row>
    <row r="134" spans="1:57" ht="15.75" customHeight="1">
      <c r="A134" s="1189"/>
      <c r="B134" s="2051"/>
      <c r="C134" s="2052"/>
      <c r="D134" s="2052"/>
      <c r="E134" s="2052"/>
      <c r="F134" s="2052"/>
      <c r="G134" s="2052"/>
      <c r="H134" s="2052"/>
      <c r="I134" s="2089" t="s">
        <v>2349</v>
      </c>
      <c r="J134" s="2089"/>
      <c r="K134" s="2089"/>
      <c r="L134" s="2089"/>
      <c r="M134" s="2089"/>
      <c r="N134" s="2089"/>
      <c r="O134" s="2089"/>
      <c r="P134" s="2089" t="s">
        <v>2348</v>
      </c>
      <c r="Q134" s="2089"/>
      <c r="R134" s="2089"/>
      <c r="S134" s="2089"/>
      <c r="T134" s="2089"/>
      <c r="U134" s="2090"/>
      <c r="V134" s="1189"/>
      <c r="W134" s="1189"/>
      <c r="X134" s="2054"/>
      <c r="Y134" s="2055"/>
      <c r="Z134" s="2055"/>
      <c r="AA134" s="2055"/>
      <c r="AB134" s="2055"/>
      <c r="AC134" s="2055"/>
      <c r="AD134" s="2055"/>
      <c r="AE134" s="2055"/>
      <c r="AF134" s="2055"/>
      <c r="AG134" s="2055"/>
      <c r="AH134" s="2055"/>
      <c r="AI134" s="2055"/>
      <c r="AJ134" s="2055"/>
      <c r="AK134" s="2055"/>
      <c r="AL134" s="2055"/>
      <c r="AM134" s="2055"/>
      <c r="AN134" s="2055"/>
      <c r="AO134" s="2055"/>
      <c r="AP134" s="2055"/>
      <c r="AQ134" s="2055"/>
      <c r="AR134" s="2055"/>
      <c r="AS134" s="2055"/>
      <c r="AT134" s="2055"/>
      <c r="AU134" s="2055"/>
      <c r="AV134" s="2055"/>
      <c r="AW134" s="2055"/>
      <c r="AX134" s="2055"/>
      <c r="AY134" s="2055"/>
      <c r="AZ134" s="2055"/>
      <c r="BA134" s="2055"/>
      <c r="BB134" s="2055"/>
      <c r="BC134" s="2055"/>
      <c r="BD134" s="2056"/>
      <c r="BE134" s="1193"/>
    </row>
    <row r="135" spans="1:57" ht="15.75" customHeight="1">
      <c r="A135" s="1189"/>
      <c r="B135" s="2051"/>
      <c r="C135" s="2052"/>
      <c r="D135" s="2052"/>
      <c r="E135" s="2052"/>
      <c r="F135" s="2052"/>
      <c r="G135" s="2052"/>
      <c r="H135" s="2052"/>
      <c r="I135" s="2089"/>
      <c r="J135" s="2089"/>
      <c r="K135" s="2089"/>
      <c r="L135" s="2089"/>
      <c r="M135" s="2089"/>
      <c r="N135" s="2089"/>
      <c r="O135" s="2089"/>
      <c r="P135" s="2089"/>
      <c r="Q135" s="2089"/>
      <c r="R135" s="2089"/>
      <c r="S135" s="2089"/>
      <c r="T135" s="2089"/>
      <c r="U135" s="2090"/>
      <c r="V135" s="1189"/>
      <c r="W135" s="1189"/>
      <c r="X135" s="2054"/>
      <c r="Y135" s="2055"/>
      <c r="Z135" s="2055"/>
      <c r="AA135" s="2055"/>
      <c r="AB135" s="2055"/>
      <c r="AC135" s="2055"/>
      <c r="AD135" s="2055"/>
      <c r="AE135" s="2055"/>
      <c r="AF135" s="2055"/>
      <c r="AG135" s="2055"/>
      <c r="AH135" s="2055"/>
      <c r="AI135" s="2055"/>
      <c r="AJ135" s="2055"/>
      <c r="AK135" s="2055"/>
      <c r="AL135" s="2055"/>
      <c r="AM135" s="2055"/>
      <c r="AN135" s="2055"/>
      <c r="AO135" s="2055"/>
      <c r="AP135" s="2055"/>
      <c r="AQ135" s="2055"/>
      <c r="AR135" s="2055"/>
      <c r="AS135" s="2055"/>
      <c r="AT135" s="2055"/>
      <c r="AU135" s="2055"/>
      <c r="AV135" s="2055"/>
      <c r="AW135" s="2055"/>
      <c r="AX135" s="2055"/>
      <c r="AY135" s="2055"/>
      <c r="AZ135" s="2055"/>
      <c r="BA135" s="2055"/>
      <c r="BB135" s="2055"/>
      <c r="BC135" s="2055"/>
      <c r="BD135" s="2056"/>
      <c r="BE135" s="1193"/>
    </row>
    <row r="136" spans="1:57" ht="15.75" customHeight="1">
      <c r="A136" s="1189"/>
      <c r="B136" s="2085" t="s">
        <v>2347</v>
      </c>
      <c r="C136" s="2086"/>
      <c r="D136" s="2086"/>
      <c r="E136" s="2086"/>
      <c r="F136" s="2086"/>
      <c r="G136" s="2086"/>
      <c r="H136" s="2086"/>
      <c r="I136" s="2087">
        <v>0</v>
      </c>
      <c r="J136" s="2087"/>
      <c r="K136" s="2087"/>
      <c r="L136" s="2087"/>
      <c r="M136" s="2087"/>
      <c r="N136" s="2087"/>
      <c r="O136" s="2087"/>
      <c r="P136" s="2087">
        <v>0</v>
      </c>
      <c r="Q136" s="2087"/>
      <c r="R136" s="2087"/>
      <c r="S136" s="2087"/>
      <c r="T136" s="2087"/>
      <c r="U136" s="2088"/>
      <c r="V136" s="1189"/>
      <c r="W136" s="1189"/>
      <c r="X136" s="2054"/>
      <c r="Y136" s="2055"/>
      <c r="Z136" s="2055"/>
      <c r="AA136" s="2055"/>
      <c r="AB136" s="2055"/>
      <c r="AC136" s="2055"/>
      <c r="AD136" s="2055"/>
      <c r="AE136" s="2055"/>
      <c r="AF136" s="2055"/>
      <c r="AG136" s="2055"/>
      <c r="AH136" s="2055"/>
      <c r="AI136" s="2055"/>
      <c r="AJ136" s="2055"/>
      <c r="AK136" s="2055"/>
      <c r="AL136" s="2055"/>
      <c r="AM136" s="2055"/>
      <c r="AN136" s="2055"/>
      <c r="AO136" s="2055"/>
      <c r="AP136" s="2055"/>
      <c r="AQ136" s="2055"/>
      <c r="AR136" s="2055"/>
      <c r="AS136" s="2055"/>
      <c r="AT136" s="2055"/>
      <c r="AU136" s="2055"/>
      <c r="AV136" s="2055"/>
      <c r="AW136" s="2055"/>
      <c r="AX136" s="2055"/>
      <c r="AY136" s="2055"/>
      <c r="AZ136" s="2055"/>
      <c r="BA136" s="2055"/>
      <c r="BB136" s="2055"/>
      <c r="BC136" s="2055"/>
      <c r="BD136" s="2056"/>
      <c r="BE136" s="1193"/>
    </row>
    <row r="137" spans="1:57" ht="15.75" customHeight="1" thickBot="1">
      <c r="A137" s="1189"/>
      <c r="B137" s="2079" t="s">
        <v>2346</v>
      </c>
      <c r="C137" s="2080"/>
      <c r="D137" s="2080"/>
      <c r="E137" s="2080"/>
      <c r="F137" s="2080"/>
      <c r="G137" s="2080"/>
      <c r="H137" s="2080"/>
      <c r="I137" s="2081">
        <v>0</v>
      </c>
      <c r="J137" s="2081"/>
      <c r="K137" s="2081"/>
      <c r="L137" s="2081"/>
      <c r="M137" s="2081"/>
      <c r="N137" s="2081"/>
      <c r="O137" s="2081"/>
      <c r="P137" s="2081">
        <v>0</v>
      </c>
      <c r="Q137" s="2081"/>
      <c r="R137" s="2081"/>
      <c r="S137" s="2081"/>
      <c r="T137" s="2081"/>
      <c r="U137" s="2082"/>
      <c r="V137" s="1189"/>
      <c r="W137" s="1189"/>
      <c r="X137" s="2057"/>
      <c r="Y137" s="2058"/>
      <c r="Z137" s="2058"/>
      <c r="AA137" s="2058"/>
      <c r="AB137" s="2058"/>
      <c r="AC137" s="2058"/>
      <c r="AD137" s="2058"/>
      <c r="AE137" s="2058"/>
      <c r="AF137" s="2058"/>
      <c r="AG137" s="2058"/>
      <c r="AH137" s="2058"/>
      <c r="AI137" s="2058"/>
      <c r="AJ137" s="2058"/>
      <c r="AK137" s="2058"/>
      <c r="AL137" s="2058"/>
      <c r="AM137" s="2058"/>
      <c r="AN137" s="2058"/>
      <c r="AO137" s="2058"/>
      <c r="AP137" s="2058"/>
      <c r="AQ137" s="2058"/>
      <c r="AR137" s="2058"/>
      <c r="AS137" s="2058"/>
      <c r="AT137" s="2058"/>
      <c r="AU137" s="2058"/>
      <c r="AV137" s="2058"/>
      <c r="AW137" s="2058"/>
      <c r="AX137" s="2058"/>
      <c r="AY137" s="2058"/>
      <c r="AZ137" s="2058"/>
      <c r="BA137" s="2058"/>
      <c r="BB137" s="2058"/>
      <c r="BC137" s="2058"/>
      <c r="BD137" s="2059"/>
      <c r="BE137" s="1193"/>
    </row>
    <row r="138" spans="1:57" ht="15.75" customHeight="1" thickBot="1">
      <c r="A138" s="1189"/>
      <c r="B138" s="1189"/>
      <c r="C138" s="1189"/>
      <c r="D138" s="1189"/>
      <c r="E138" s="1189"/>
      <c r="F138" s="1189"/>
      <c r="G138" s="1189"/>
      <c r="H138" s="1189"/>
      <c r="I138" s="1189"/>
      <c r="J138" s="1189"/>
      <c r="K138" s="1189"/>
      <c r="L138" s="1189"/>
      <c r="M138" s="1189"/>
      <c r="N138" s="1189"/>
      <c r="O138" s="1189"/>
      <c r="P138" s="1189"/>
      <c r="Q138" s="1224"/>
      <c r="R138" s="1189"/>
      <c r="S138" s="1189"/>
      <c r="T138" s="1189"/>
      <c r="U138" s="1189"/>
      <c r="V138" s="1189"/>
      <c r="W138" s="1189"/>
      <c r="X138" s="1189"/>
      <c r="Y138" s="1189"/>
      <c r="Z138" s="1189"/>
      <c r="AA138" s="1189"/>
      <c r="AB138" s="1189"/>
      <c r="AC138" s="1189"/>
      <c r="AD138" s="1189"/>
      <c r="AE138" s="1189"/>
      <c r="AF138" s="1189"/>
      <c r="AG138" s="1189"/>
      <c r="AH138" s="1189"/>
      <c r="AI138" s="1189"/>
      <c r="AJ138" s="1189"/>
      <c r="AK138" s="1189"/>
      <c r="AL138" s="1189"/>
      <c r="AM138" s="1189"/>
      <c r="AN138" s="1189"/>
      <c r="AO138" s="1189"/>
      <c r="AP138" s="1189"/>
      <c r="AQ138" s="1189"/>
      <c r="AR138" s="1189"/>
      <c r="AS138" s="1189"/>
      <c r="AT138" s="1189"/>
      <c r="AU138" s="1189"/>
      <c r="AV138" s="1189"/>
      <c r="AW138" s="1189"/>
      <c r="AX138" s="1189"/>
      <c r="AY138" s="1189"/>
      <c r="AZ138" s="1189"/>
      <c r="BA138" s="1189"/>
      <c r="BB138" s="1189"/>
      <c r="BC138" s="1189"/>
      <c r="BD138" s="1189"/>
      <c r="BE138" s="1193"/>
    </row>
    <row r="139" spans="1:57" ht="15.75" customHeight="1">
      <c r="A139" s="1189"/>
      <c r="B139" s="2106" t="s">
        <v>2360</v>
      </c>
      <c r="C139" s="2107"/>
      <c r="D139" s="2107"/>
      <c r="E139" s="2107"/>
      <c r="F139" s="2107"/>
      <c r="G139" s="2107"/>
      <c r="H139" s="2107"/>
      <c r="I139" s="2107"/>
      <c r="J139" s="2107"/>
      <c r="K139" s="2107"/>
      <c r="L139" s="2107"/>
      <c r="M139" s="2107"/>
      <c r="N139" s="2107"/>
      <c r="O139" s="2107"/>
      <c r="P139" s="2107"/>
      <c r="Q139" s="2107"/>
      <c r="R139" s="2107"/>
      <c r="S139" s="2107"/>
      <c r="T139" s="2107"/>
      <c r="U139" s="2107"/>
      <c r="V139" s="2107"/>
      <c r="W139" s="2107"/>
      <c r="X139" s="2107"/>
      <c r="Y139" s="2107"/>
      <c r="Z139" s="2107"/>
      <c r="AA139" s="2107"/>
      <c r="AB139" s="2107"/>
      <c r="AC139" s="2107"/>
      <c r="AD139" s="2107"/>
      <c r="AE139" s="2107"/>
      <c r="AF139" s="2107"/>
      <c r="AG139" s="2107"/>
      <c r="AH139" s="2094" t="s">
        <v>546</v>
      </c>
      <c r="AI139" s="2094"/>
      <c r="AJ139" s="2094"/>
      <c r="AK139" s="2094"/>
      <c r="AL139" s="2094"/>
      <c r="AM139" s="2094"/>
      <c r="AN139" s="2094"/>
      <c r="AO139" s="2094"/>
      <c r="AP139" s="2094"/>
      <c r="AQ139" s="2094"/>
      <c r="AR139" s="2094"/>
      <c r="AS139" s="2094"/>
      <c r="AT139" s="2094"/>
      <c r="AU139" s="2094"/>
      <c r="AV139" s="2094"/>
      <c r="AW139" s="2094"/>
      <c r="AX139" s="2095"/>
      <c r="AY139" s="1189"/>
      <c r="AZ139" s="1189"/>
      <c r="BA139" s="1189"/>
      <c r="BB139" s="1189"/>
      <c r="BC139" s="1189"/>
      <c r="BD139" s="1189"/>
      <c r="BE139" s="1193"/>
    </row>
    <row r="140" spans="1:57" ht="15.75" customHeight="1" thickBot="1">
      <c r="A140" s="1189"/>
      <c r="B140" s="2091" t="s">
        <v>2359</v>
      </c>
      <c r="C140" s="2092"/>
      <c r="D140" s="2092"/>
      <c r="E140" s="2092"/>
      <c r="F140" s="2092"/>
      <c r="G140" s="2092"/>
      <c r="H140" s="2092"/>
      <c r="I140" s="2092"/>
      <c r="J140" s="2092"/>
      <c r="K140" s="2092"/>
      <c r="L140" s="2092"/>
      <c r="M140" s="2092"/>
      <c r="N140" s="2092"/>
      <c r="O140" s="2092"/>
      <c r="P140" s="2092"/>
      <c r="Q140" s="2092"/>
      <c r="R140" s="2092"/>
      <c r="S140" s="2092"/>
      <c r="T140" s="2092"/>
      <c r="U140" s="2092"/>
      <c r="V140" s="2092"/>
      <c r="W140" s="2092"/>
      <c r="X140" s="2092"/>
      <c r="Y140" s="2092"/>
      <c r="Z140" s="2092"/>
      <c r="AA140" s="2092"/>
      <c r="AB140" s="2092"/>
      <c r="AC140" s="2092"/>
      <c r="AD140" s="2092"/>
      <c r="AE140" s="2092"/>
      <c r="AF140" s="2092"/>
      <c r="AG140" s="2093"/>
      <c r="AH140" s="2108"/>
      <c r="AI140" s="2109"/>
      <c r="AJ140" s="2109"/>
      <c r="AK140" s="2109"/>
      <c r="AL140" s="2109"/>
      <c r="AM140" s="2109"/>
      <c r="AN140" s="2109"/>
      <c r="AO140" s="2109"/>
      <c r="AP140" s="2109"/>
      <c r="AQ140" s="2109"/>
      <c r="AR140" s="2109"/>
      <c r="AS140" s="2109"/>
      <c r="AT140" s="2109"/>
      <c r="AU140" s="2109"/>
      <c r="AV140" s="2109"/>
      <c r="AW140" s="2109"/>
      <c r="AX140" s="2110"/>
      <c r="AY140" s="1189"/>
      <c r="AZ140" s="1189"/>
      <c r="BA140" s="1189"/>
      <c r="BB140" s="1189"/>
      <c r="BC140" s="1189"/>
      <c r="BD140" s="1189"/>
      <c r="BE140" s="1193"/>
    </row>
    <row r="141" spans="1:57" ht="15.75" customHeight="1">
      <c r="A141" s="1189"/>
      <c r="B141" s="2091" t="s">
        <v>2358</v>
      </c>
      <c r="C141" s="2092"/>
      <c r="D141" s="2092"/>
      <c r="E141" s="2092"/>
      <c r="F141" s="2092"/>
      <c r="G141" s="2092"/>
      <c r="H141" s="2092"/>
      <c r="I141" s="2092"/>
      <c r="J141" s="2092"/>
      <c r="K141" s="2092"/>
      <c r="L141" s="2092"/>
      <c r="M141" s="2092"/>
      <c r="N141" s="2092"/>
      <c r="O141" s="2092"/>
      <c r="P141" s="2092"/>
      <c r="Q141" s="2092"/>
      <c r="R141" s="2092"/>
      <c r="S141" s="2092"/>
      <c r="T141" s="2092"/>
      <c r="U141" s="2092"/>
      <c r="V141" s="2092"/>
      <c r="W141" s="2092"/>
      <c r="X141" s="2092"/>
      <c r="Y141" s="2092"/>
      <c r="Z141" s="2092"/>
      <c r="AA141" s="2092"/>
      <c r="AB141" s="2092"/>
      <c r="AC141" s="2092"/>
      <c r="AD141" s="2092"/>
      <c r="AE141" s="2092"/>
      <c r="AF141" s="2092"/>
      <c r="AG141" s="2093"/>
      <c r="AH141" s="2094" t="s">
        <v>546</v>
      </c>
      <c r="AI141" s="2094"/>
      <c r="AJ141" s="2094"/>
      <c r="AK141" s="2094"/>
      <c r="AL141" s="2094"/>
      <c r="AM141" s="2094"/>
      <c r="AN141" s="2094"/>
      <c r="AO141" s="2094"/>
      <c r="AP141" s="2094"/>
      <c r="AQ141" s="2094"/>
      <c r="AR141" s="2094"/>
      <c r="AS141" s="2094"/>
      <c r="AT141" s="2094"/>
      <c r="AU141" s="2094"/>
      <c r="AV141" s="2094"/>
      <c r="AW141" s="2094"/>
      <c r="AX141" s="2095"/>
      <c r="AY141" s="1189"/>
      <c r="AZ141" s="1189"/>
      <c r="BA141" s="1189"/>
      <c r="BB141" s="1189"/>
      <c r="BC141" s="1189"/>
      <c r="BD141" s="1189"/>
      <c r="BE141" s="1193"/>
    </row>
    <row r="142" spans="1:57" ht="15.75" customHeight="1">
      <c r="A142" s="1189"/>
      <c r="B142" s="2096" t="s">
        <v>2357</v>
      </c>
      <c r="C142" s="2097"/>
      <c r="D142" s="2097"/>
      <c r="E142" s="2097"/>
      <c r="F142" s="2097"/>
      <c r="G142" s="2097"/>
      <c r="H142" s="2097"/>
      <c r="I142" s="2097"/>
      <c r="J142" s="2097"/>
      <c r="K142" s="2097"/>
      <c r="L142" s="2097"/>
      <c r="M142" s="2097"/>
      <c r="N142" s="2097"/>
      <c r="O142" s="2097"/>
      <c r="P142" s="2097"/>
      <c r="Q142" s="2097"/>
      <c r="R142" s="2098" t="s">
        <v>2356</v>
      </c>
      <c r="S142" s="2098"/>
      <c r="T142" s="2098"/>
      <c r="U142" s="2098"/>
      <c r="V142" s="2098"/>
      <c r="W142" s="2098"/>
      <c r="X142" s="2098"/>
      <c r="Y142" s="2098"/>
      <c r="Z142" s="2098"/>
      <c r="AA142" s="2098"/>
      <c r="AB142" s="2098"/>
      <c r="AC142" s="2098"/>
      <c r="AD142" s="2098"/>
      <c r="AE142" s="2098"/>
      <c r="AF142" s="2098"/>
      <c r="AG142" s="2098"/>
      <c r="AH142" s="2098"/>
      <c r="AI142" s="2098"/>
      <c r="AJ142" s="2098"/>
      <c r="AK142" s="2098"/>
      <c r="AL142" s="2098"/>
      <c r="AM142" s="2098"/>
      <c r="AN142" s="2098"/>
      <c r="AO142" s="2098"/>
      <c r="AP142" s="2098"/>
      <c r="AQ142" s="2098"/>
      <c r="AR142" s="2098"/>
      <c r="AS142" s="2098"/>
      <c r="AT142" s="2098"/>
      <c r="AU142" s="2098"/>
      <c r="AV142" s="2098"/>
      <c r="AW142" s="2098"/>
      <c r="AX142" s="2099"/>
      <c r="AY142" s="1189"/>
      <c r="AZ142" s="1189"/>
      <c r="BA142" s="1189"/>
      <c r="BB142" s="1189"/>
      <c r="BC142" s="1189" t="s">
        <v>250</v>
      </c>
      <c r="BD142" s="1189"/>
      <c r="BE142" s="1193"/>
    </row>
    <row r="143" spans="1:57" ht="15.75" customHeight="1">
      <c r="A143" s="1189"/>
      <c r="B143" s="2100" t="s">
        <v>2355</v>
      </c>
      <c r="C143" s="2101"/>
      <c r="D143" s="2101"/>
      <c r="E143" s="2101"/>
      <c r="F143" s="2101"/>
      <c r="G143" s="2101"/>
      <c r="H143" s="2101"/>
      <c r="I143" s="2101"/>
      <c r="J143" s="2101"/>
      <c r="K143" s="2101"/>
      <c r="L143" s="2101"/>
      <c r="M143" s="2101"/>
      <c r="N143" s="2101"/>
      <c r="O143" s="2101"/>
      <c r="P143" s="2101"/>
      <c r="Q143" s="2101"/>
      <c r="R143" s="2101"/>
      <c r="S143" s="2101"/>
      <c r="T143" s="2101"/>
      <c r="U143" s="2101"/>
      <c r="V143" s="2101"/>
      <c r="W143" s="2101"/>
      <c r="X143" s="2101"/>
      <c r="Y143" s="2101"/>
      <c r="Z143" s="2101"/>
      <c r="AA143" s="2101"/>
      <c r="AB143" s="2101"/>
      <c r="AC143" s="2101"/>
      <c r="AD143" s="2101"/>
      <c r="AE143" s="2101"/>
      <c r="AF143" s="2101"/>
      <c r="AG143" s="2101"/>
      <c r="AH143" s="2101"/>
      <c r="AI143" s="2101"/>
      <c r="AJ143" s="2101"/>
      <c r="AK143" s="2101"/>
      <c r="AL143" s="2101"/>
      <c r="AM143" s="2101"/>
      <c r="AN143" s="2101"/>
      <c r="AO143" s="2101"/>
      <c r="AP143" s="2101"/>
      <c r="AQ143" s="2101"/>
      <c r="AR143" s="2101"/>
      <c r="AS143" s="2101"/>
      <c r="AT143" s="2101"/>
      <c r="AU143" s="2101"/>
      <c r="AV143" s="2101"/>
      <c r="AW143" s="2101"/>
      <c r="AX143" s="2102"/>
      <c r="AY143" s="1189"/>
      <c r="AZ143" s="1189"/>
      <c r="BA143" s="1189"/>
      <c r="BB143" s="1189"/>
      <c r="BC143" s="1189"/>
      <c r="BD143" s="1189"/>
      <c r="BE143" s="1193"/>
    </row>
    <row r="144" spans="1:57" ht="15.75" customHeight="1">
      <c r="A144" s="1189"/>
      <c r="B144" s="2100"/>
      <c r="C144" s="2101"/>
      <c r="D144" s="2101"/>
      <c r="E144" s="2101"/>
      <c r="F144" s="2101"/>
      <c r="G144" s="2101"/>
      <c r="H144" s="2101"/>
      <c r="I144" s="2101"/>
      <c r="J144" s="2101"/>
      <c r="K144" s="2101"/>
      <c r="L144" s="2101"/>
      <c r="M144" s="2101"/>
      <c r="N144" s="2101"/>
      <c r="O144" s="2101"/>
      <c r="P144" s="2101"/>
      <c r="Q144" s="2101"/>
      <c r="R144" s="2101"/>
      <c r="S144" s="2101"/>
      <c r="T144" s="2101"/>
      <c r="U144" s="2101"/>
      <c r="V144" s="2101"/>
      <c r="W144" s="2101"/>
      <c r="X144" s="2101"/>
      <c r="Y144" s="2101"/>
      <c r="Z144" s="2101"/>
      <c r="AA144" s="2101"/>
      <c r="AB144" s="2101"/>
      <c r="AC144" s="2101"/>
      <c r="AD144" s="2101"/>
      <c r="AE144" s="2101"/>
      <c r="AF144" s="2101"/>
      <c r="AG144" s="2101"/>
      <c r="AH144" s="2101"/>
      <c r="AI144" s="2101"/>
      <c r="AJ144" s="2101"/>
      <c r="AK144" s="2101"/>
      <c r="AL144" s="2101"/>
      <c r="AM144" s="2101"/>
      <c r="AN144" s="2101"/>
      <c r="AO144" s="2101"/>
      <c r="AP144" s="2101"/>
      <c r="AQ144" s="2101"/>
      <c r="AR144" s="2101"/>
      <c r="AS144" s="2101"/>
      <c r="AT144" s="2101"/>
      <c r="AU144" s="2101"/>
      <c r="AV144" s="2101"/>
      <c r="AW144" s="2101"/>
      <c r="AX144" s="2102"/>
      <c r="AY144" s="1189"/>
      <c r="AZ144" s="1189"/>
      <c r="BA144" s="1189"/>
      <c r="BB144" s="1189"/>
      <c r="BC144" s="1189"/>
      <c r="BD144" s="1189"/>
      <c r="BE144" s="1193"/>
    </row>
    <row r="145" spans="1:57" ht="15.75" customHeight="1">
      <c r="A145" s="1189"/>
      <c r="B145" s="2100"/>
      <c r="C145" s="2101"/>
      <c r="D145" s="2101"/>
      <c r="E145" s="2101"/>
      <c r="F145" s="2101"/>
      <c r="G145" s="2101"/>
      <c r="H145" s="2101"/>
      <c r="I145" s="2101"/>
      <c r="J145" s="2101"/>
      <c r="K145" s="2101"/>
      <c r="L145" s="2101"/>
      <c r="M145" s="2101"/>
      <c r="N145" s="2101"/>
      <c r="O145" s="2101"/>
      <c r="P145" s="2101"/>
      <c r="Q145" s="2101"/>
      <c r="R145" s="2101"/>
      <c r="S145" s="2101"/>
      <c r="T145" s="2101"/>
      <c r="U145" s="2101"/>
      <c r="V145" s="2101"/>
      <c r="W145" s="2101"/>
      <c r="X145" s="2101"/>
      <c r="Y145" s="2101"/>
      <c r="Z145" s="2101"/>
      <c r="AA145" s="2101"/>
      <c r="AB145" s="2101"/>
      <c r="AC145" s="2101"/>
      <c r="AD145" s="2101"/>
      <c r="AE145" s="2101"/>
      <c r="AF145" s="2101"/>
      <c r="AG145" s="2101"/>
      <c r="AH145" s="2101"/>
      <c r="AI145" s="2101"/>
      <c r="AJ145" s="2101"/>
      <c r="AK145" s="2101"/>
      <c r="AL145" s="2101"/>
      <c r="AM145" s="2101"/>
      <c r="AN145" s="2101"/>
      <c r="AO145" s="2101"/>
      <c r="AP145" s="2101"/>
      <c r="AQ145" s="2101"/>
      <c r="AR145" s="2101"/>
      <c r="AS145" s="2101"/>
      <c r="AT145" s="2101"/>
      <c r="AU145" s="2101"/>
      <c r="AV145" s="2101"/>
      <c r="AW145" s="2101"/>
      <c r="AX145" s="2102"/>
      <c r="AY145" s="1189"/>
      <c r="AZ145" s="1189"/>
      <c r="BA145" s="1189"/>
      <c r="BB145" s="1189"/>
      <c r="BC145" s="1189"/>
      <c r="BD145" s="1189"/>
      <c r="BE145" s="1193"/>
    </row>
    <row r="146" spans="1:57" ht="15.75" customHeight="1">
      <c r="A146" s="1189"/>
      <c r="B146" s="2100"/>
      <c r="C146" s="2101"/>
      <c r="D146" s="2101"/>
      <c r="E146" s="2101"/>
      <c r="F146" s="2101"/>
      <c r="G146" s="2101"/>
      <c r="H146" s="2101"/>
      <c r="I146" s="2101"/>
      <c r="J146" s="2101"/>
      <c r="K146" s="2101"/>
      <c r="L146" s="2101"/>
      <c r="M146" s="2101"/>
      <c r="N146" s="2101"/>
      <c r="O146" s="2101"/>
      <c r="P146" s="2101"/>
      <c r="Q146" s="2101"/>
      <c r="R146" s="2101"/>
      <c r="S146" s="2101"/>
      <c r="T146" s="2101"/>
      <c r="U146" s="2101"/>
      <c r="V146" s="2101"/>
      <c r="W146" s="2101"/>
      <c r="X146" s="2101"/>
      <c r="Y146" s="2101"/>
      <c r="Z146" s="2101"/>
      <c r="AA146" s="2101"/>
      <c r="AB146" s="2101"/>
      <c r="AC146" s="2101"/>
      <c r="AD146" s="2101"/>
      <c r="AE146" s="2101"/>
      <c r="AF146" s="2101"/>
      <c r="AG146" s="2101"/>
      <c r="AH146" s="2101"/>
      <c r="AI146" s="2101"/>
      <c r="AJ146" s="2101"/>
      <c r="AK146" s="2101"/>
      <c r="AL146" s="2101"/>
      <c r="AM146" s="2101"/>
      <c r="AN146" s="2101"/>
      <c r="AO146" s="2101"/>
      <c r="AP146" s="2101"/>
      <c r="AQ146" s="2101"/>
      <c r="AR146" s="2101"/>
      <c r="AS146" s="2101"/>
      <c r="AT146" s="2101"/>
      <c r="AU146" s="2101"/>
      <c r="AV146" s="2101"/>
      <c r="AW146" s="2101"/>
      <c r="AX146" s="2102"/>
      <c r="AY146" s="1189"/>
      <c r="AZ146" s="1189"/>
      <c r="BA146" s="1189"/>
      <c r="BB146" s="1189"/>
      <c r="BC146" s="1189"/>
      <c r="BD146" s="1189"/>
      <c r="BE146" s="1193"/>
    </row>
    <row r="147" spans="1:57" ht="15.75" customHeight="1">
      <c r="A147" s="1189"/>
      <c r="B147" s="2100"/>
      <c r="C147" s="2101"/>
      <c r="D147" s="2101"/>
      <c r="E147" s="2101"/>
      <c r="F147" s="2101"/>
      <c r="G147" s="2101"/>
      <c r="H147" s="2101"/>
      <c r="I147" s="2101"/>
      <c r="J147" s="2101"/>
      <c r="K147" s="2101"/>
      <c r="L147" s="2101"/>
      <c r="M147" s="2101"/>
      <c r="N147" s="2101"/>
      <c r="O147" s="2101"/>
      <c r="P147" s="2101"/>
      <c r="Q147" s="2101"/>
      <c r="R147" s="2101"/>
      <c r="S147" s="2101"/>
      <c r="T147" s="2101"/>
      <c r="U147" s="2101"/>
      <c r="V147" s="2101"/>
      <c r="W147" s="2101"/>
      <c r="X147" s="2101"/>
      <c r="Y147" s="2101"/>
      <c r="Z147" s="2101"/>
      <c r="AA147" s="2101"/>
      <c r="AB147" s="2101"/>
      <c r="AC147" s="2101"/>
      <c r="AD147" s="2101"/>
      <c r="AE147" s="2101"/>
      <c r="AF147" s="2101"/>
      <c r="AG147" s="2101"/>
      <c r="AH147" s="2101"/>
      <c r="AI147" s="2101"/>
      <c r="AJ147" s="2101"/>
      <c r="AK147" s="2101"/>
      <c r="AL147" s="2101"/>
      <c r="AM147" s="2101"/>
      <c r="AN147" s="2101"/>
      <c r="AO147" s="2101"/>
      <c r="AP147" s="2101"/>
      <c r="AQ147" s="2101"/>
      <c r="AR147" s="2101"/>
      <c r="AS147" s="2101"/>
      <c r="AT147" s="2101"/>
      <c r="AU147" s="2101"/>
      <c r="AV147" s="2101"/>
      <c r="AW147" s="2101"/>
      <c r="AX147" s="2102"/>
      <c r="AY147" s="1189"/>
      <c r="AZ147" s="1189"/>
      <c r="BA147" s="1189"/>
      <c r="BB147" s="1189"/>
      <c r="BC147" s="1189"/>
      <c r="BD147" s="1189"/>
      <c r="BE147" s="1193"/>
    </row>
    <row r="148" spans="1:57" ht="15.75" customHeight="1">
      <c r="A148" s="1189"/>
      <c r="B148" s="2100"/>
      <c r="C148" s="2101"/>
      <c r="D148" s="2101"/>
      <c r="E148" s="2101"/>
      <c r="F148" s="2101"/>
      <c r="G148" s="2101"/>
      <c r="H148" s="2101"/>
      <c r="I148" s="2101"/>
      <c r="J148" s="2101"/>
      <c r="K148" s="2101"/>
      <c r="L148" s="2101"/>
      <c r="M148" s="2101"/>
      <c r="N148" s="2101"/>
      <c r="O148" s="2101"/>
      <c r="P148" s="2101"/>
      <c r="Q148" s="2101"/>
      <c r="R148" s="2101"/>
      <c r="S148" s="2101"/>
      <c r="T148" s="2101"/>
      <c r="U148" s="2101"/>
      <c r="V148" s="2101"/>
      <c r="W148" s="2101"/>
      <c r="X148" s="2101"/>
      <c r="Y148" s="2101"/>
      <c r="Z148" s="2101"/>
      <c r="AA148" s="2101"/>
      <c r="AB148" s="2101"/>
      <c r="AC148" s="2101"/>
      <c r="AD148" s="2101"/>
      <c r="AE148" s="2101"/>
      <c r="AF148" s="2101"/>
      <c r="AG148" s="2101"/>
      <c r="AH148" s="2101"/>
      <c r="AI148" s="2101"/>
      <c r="AJ148" s="2101"/>
      <c r="AK148" s="2101"/>
      <c r="AL148" s="2101"/>
      <c r="AM148" s="2101"/>
      <c r="AN148" s="2101"/>
      <c r="AO148" s="2101"/>
      <c r="AP148" s="2101"/>
      <c r="AQ148" s="2101"/>
      <c r="AR148" s="2101"/>
      <c r="AS148" s="2101"/>
      <c r="AT148" s="2101"/>
      <c r="AU148" s="2101"/>
      <c r="AV148" s="2101"/>
      <c r="AW148" s="2101"/>
      <c r="AX148" s="2102"/>
      <c r="AY148" s="1189"/>
      <c r="AZ148" s="1189"/>
      <c r="BA148" s="1189"/>
      <c r="BB148" s="1189"/>
      <c r="BC148" s="1189"/>
      <c r="BD148" s="1189"/>
      <c r="BE148" s="1193"/>
    </row>
    <row r="149" spans="1:57" ht="15.75" customHeight="1">
      <c r="A149" s="1189"/>
      <c r="B149" s="2100"/>
      <c r="C149" s="2101"/>
      <c r="D149" s="2101"/>
      <c r="E149" s="2101"/>
      <c r="F149" s="2101"/>
      <c r="G149" s="2101"/>
      <c r="H149" s="2101"/>
      <c r="I149" s="2101"/>
      <c r="J149" s="2101"/>
      <c r="K149" s="2101"/>
      <c r="L149" s="2101"/>
      <c r="M149" s="2101"/>
      <c r="N149" s="2101"/>
      <c r="O149" s="2101"/>
      <c r="P149" s="2101"/>
      <c r="Q149" s="2101"/>
      <c r="R149" s="2101"/>
      <c r="S149" s="2101"/>
      <c r="T149" s="2101"/>
      <c r="U149" s="2101"/>
      <c r="V149" s="2101"/>
      <c r="W149" s="2101"/>
      <c r="X149" s="2101"/>
      <c r="Y149" s="2101"/>
      <c r="Z149" s="2101"/>
      <c r="AA149" s="2101"/>
      <c r="AB149" s="2101"/>
      <c r="AC149" s="2101"/>
      <c r="AD149" s="2101"/>
      <c r="AE149" s="2101"/>
      <c r="AF149" s="2101"/>
      <c r="AG149" s="2101"/>
      <c r="AH149" s="2101"/>
      <c r="AI149" s="2101"/>
      <c r="AJ149" s="2101"/>
      <c r="AK149" s="2101"/>
      <c r="AL149" s="2101"/>
      <c r="AM149" s="2101"/>
      <c r="AN149" s="2101"/>
      <c r="AO149" s="2101"/>
      <c r="AP149" s="2101"/>
      <c r="AQ149" s="2101"/>
      <c r="AR149" s="2101"/>
      <c r="AS149" s="2101"/>
      <c r="AT149" s="2101"/>
      <c r="AU149" s="2101"/>
      <c r="AV149" s="2101"/>
      <c r="AW149" s="2101"/>
      <c r="AX149" s="2102"/>
      <c r="AY149" s="1189"/>
      <c r="AZ149" s="1189"/>
      <c r="BA149" s="1189"/>
      <c r="BB149" s="1189"/>
      <c r="BC149" s="1189"/>
      <c r="BD149" s="1189"/>
      <c r="BE149" s="1193"/>
    </row>
    <row r="150" spans="1:57" ht="15.75" customHeight="1">
      <c r="A150" s="1189"/>
      <c r="B150" s="2100"/>
      <c r="C150" s="2101"/>
      <c r="D150" s="2101"/>
      <c r="E150" s="2101"/>
      <c r="F150" s="2101"/>
      <c r="G150" s="2101"/>
      <c r="H150" s="2101"/>
      <c r="I150" s="2101"/>
      <c r="J150" s="2101"/>
      <c r="K150" s="2101"/>
      <c r="L150" s="2101"/>
      <c r="M150" s="2101"/>
      <c r="N150" s="2101"/>
      <c r="O150" s="2101"/>
      <c r="P150" s="2101"/>
      <c r="Q150" s="2101"/>
      <c r="R150" s="2101"/>
      <c r="S150" s="2101"/>
      <c r="T150" s="2101"/>
      <c r="U150" s="2101"/>
      <c r="V150" s="2101"/>
      <c r="W150" s="2101"/>
      <c r="X150" s="2101"/>
      <c r="Y150" s="2101"/>
      <c r="Z150" s="2101"/>
      <c r="AA150" s="2101"/>
      <c r="AB150" s="2101"/>
      <c r="AC150" s="2101"/>
      <c r="AD150" s="2101"/>
      <c r="AE150" s="2101"/>
      <c r="AF150" s="2101"/>
      <c r="AG150" s="2101"/>
      <c r="AH150" s="2101"/>
      <c r="AI150" s="2101"/>
      <c r="AJ150" s="2101"/>
      <c r="AK150" s="2101"/>
      <c r="AL150" s="2101"/>
      <c r="AM150" s="2101"/>
      <c r="AN150" s="2101"/>
      <c r="AO150" s="2101"/>
      <c r="AP150" s="2101"/>
      <c r="AQ150" s="2101"/>
      <c r="AR150" s="2101"/>
      <c r="AS150" s="2101"/>
      <c r="AT150" s="2101"/>
      <c r="AU150" s="2101"/>
      <c r="AV150" s="2101"/>
      <c r="AW150" s="2101"/>
      <c r="AX150" s="2102"/>
      <c r="AY150" s="1189"/>
      <c r="AZ150" s="1189"/>
      <c r="BA150" s="1189"/>
      <c r="BB150" s="1189"/>
      <c r="BC150" s="1189"/>
      <c r="BD150" s="1189"/>
      <c r="BE150" s="1193"/>
    </row>
    <row r="151" spans="1:57" ht="15.75" customHeight="1">
      <c r="A151" s="1189"/>
      <c r="B151" s="2100"/>
      <c r="C151" s="2101"/>
      <c r="D151" s="2101"/>
      <c r="E151" s="2101"/>
      <c r="F151" s="2101"/>
      <c r="G151" s="2101"/>
      <c r="H151" s="2101"/>
      <c r="I151" s="2101"/>
      <c r="J151" s="2101"/>
      <c r="K151" s="2101"/>
      <c r="L151" s="2101"/>
      <c r="M151" s="2101"/>
      <c r="N151" s="2101"/>
      <c r="O151" s="2101"/>
      <c r="P151" s="2101"/>
      <c r="Q151" s="2101"/>
      <c r="R151" s="2101"/>
      <c r="S151" s="2101"/>
      <c r="T151" s="2101"/>
      <c r="U151" s="2101"/>
      <c r="V151" s="2101"/>
      <c r="W151" s="2101"/>
      <c r="X151" s="2101"/>
      <c r="Y151" s="2101"/>
      <c r="Z151" s="2101"/>
      <c r="AA151" s="2101"/>
      <c r="AB151" s="2101"/>
      <c r="AC151" s="2101"/>
      <c r="AD151" s="2101"/>
      <c r="AE151" s="2101"/>
      <c r="AF151" s="2101"/>
      <c r="AG151" s="2101"/>
      <c r="AH151" s="2101"/>
      <c r="AI151" s="2101"/>
      <c r="AJ151" s="2101"/>
      <c r="AK151" s="2101"/>
      <c r="AL151" s="2101"/>
      <c r="AM151" s="2101"/>
      <c r="AN151" s="2101"/>
      <c r="AO151" s="2101"/>
      <c r="AP151" s="2101"/>
      <c r="AQ151" s="2101"/>
      <c r="AR151" s="2101"/>
      <c r="AS151" s="2101"/>
      <c r="AT151" s="2101"/>
      <c r="AU151" s="2101"/>
      <c r="AV151" s="2101"/>
      <c r="AW151" s="2101"/>
      <c r="AX151" s="2102"/>
      <c r="AY151" s="1189"/>
      <c r="AZ151" s="1189"/>
      <c r="BA151" s="1189"/>
      <c r="BB151" s="1189"/>
      <c r="BC151" s="1189"/>
      <c r="BD151" s="1189"/>
      <c r="BE151" s="1193"/>
    </row>
    <row r="152" spans="1:57" ht="15.75" customHeight="1" thickBot="1">
      <c r="A152" s="1189"/>
      <c r="B152" s="2103"/>
      <c r="C152" s="2104"/>
      <c r="D152" s="2104"/>
      <c r="E152" s="2104"/>
      <c r="F152" s="2104"/>
      <c r="G152" s="2104"/>
      <c r="H152" s="2104"/>
      <c r="I152" s="2104"/>
      <c r="J152" s="2104"/>
      <c r="K152" s="2104"/>
      <c r="L152" s="2104"/>
      <c r="M152" s="2104"/>
      <c r="N152" s="2104"/>
      <c r="O152" s="2104"/>
      <c r="P152" s="2104"/>
      <c r="Q152" s="2104"/>
      <c r="R152" s="2104"/>
      <c r="S152" s="2104"/>
      <c r="T152" s="2104"/>
      <c r="U152" s="2104"/>
      <c r="V152" s="2104"/>
      <c r="W152" s="2104"/>
      <c r="X152" s="2104"/>
      <c r="Y152" s="2104"/>
      <c r="Z152" s="2104"/>
      <c r="AA152" s="2104"/>
      <c r="AB152" s="2104"/>
      <c r="AC152" s="2104"/>
      <c r="AD152" s="2104"/>
      <c r="AE152" s="2104"/>
      <c r="AF152" s="2104"/>
      <c r="AG152" s="2104"/>
      <c r="AH152" s="2104"/>
      <c r="AI152" s="2104"/>
      <c r="AJ152" s="2104"/>
      <c r="AK152" s="2104"/>
      <c r="AL152" s="2104"/>
      <c r="AM152" s="2104"/>
      <c r="AN152" s="2104"/>
      <c r="AO152" s="2104"/>
      <c r="AP152" s="2104"/>
      <c r="AQ152" s="2104"/>
      <c r="AR152" s="2104"/>
      <c r="AS152" s="2104"/>
      <c r="AT152" s="2104"/>
      <c r="AU152" s="2104"/>
      <c r="AV152" s="2104"/>
      <c r="AW152" s="2104"/>
      <c r="AX152" s="2105"/>
      <c r="AY152" s="1189"/>
      <c r="AZ152" s="1189"/>
      <c r="BA152" s="1189"/>
      <c r="BB152" s="1189"/>
      <c r="BC152" s="1189"/>
      <c r="BD152" s="1189"/>
      <c r="BE152" s="1193"/>
    </row>
    <row r="153" spans="1:57" ht="15.75" customHeight="1" thickBot="1">
      <c r="A153" s="1189"/>
      <c r="B153" s="1189"/>
      <c r="C153" s="1189"/>
      <c r="D153" s="1189"/>
      <c r="E153" s="1189"/>
      <c r="F153" s="1189"/>
      <c r="G153" s="1189"/>
      <c r="H153" s="1189"/>
      <c r="I153" s="1189"/>
      <c r="J153" s="1189"/>
      <c r="K153" s="1189"/>
      <c r="L153" s="1189"/>
      <c r="M153" s="1189"/>
      <c r="N153" s="1189"/>
      <c r="O153" s="1189"/>
      <c r="P153" s="1189"/>
      <c r="Q153" s="1189"/>
      <c r="R153" s="1189"/>
      <c r="S153" s="1189"/>
      <c r="T153" s="1189"/>
      <c r="U153" s="1189"/>
      <c r="V153" s="1189"/>
      <c r="W153" s="1189"/>
      <c r="X153" s="1189"/>
      <c r="Y153" s="1189"/>
      <c r="Z153" s="1189"/>
      <c r="AA153" s="1189"/>
      <c r="AB153" s="1189"/>
      <c r="AC153" s="1189"/>
      <c r="AD153" s="1189"/>
      <c r="AE153" s="1189"/>
      <c r="AF153" s="1189"/>
      <c r="AG153" s="1189"/>
      <c r="AH153" s="1189"/>
      <c r="AI153" s="1189"/>
      <c r="AJ153" s="1189"/>
      <c r="AK153" s="1189"/>
      <c r="AL153" s="1189"/>
      <c r="AM153" s="1189"/>
      <c r="AN153" s="1189"/>
      <c r="AO153" s="1189"/>
      <c r="AP153" s="1189"/>
      <c r="AQ153" s="1189"/>
      <c r="AR153" s="1189"/>
      <c r="AS153" s="1189"/>
      <c r="AT153" s="1189"/>
      <c r="AU153" s="1189"/>
      <c r="AV153" s="1189"/>
      <c r="AW153" s="1189"/>
      <c r="AX153" s="1189"/>
      <c r="AY153" s="1189"/>
      <c r="AZ153" s="1189"/>
      <c r="BA153" s="1189"/>
      <c r="BB153" s="1189"/>
      <c r="BC153" s="1189"/>
      <c r="BD153" s="1189"/>
      <c r="BE153" s="1193"/>
    </row>
    <row r="154" spans="1:57" ht="15.75" customHeight="1" thickBot="1">
      <c r="A154" s="1189"/>
      <c r="B154" s="1208" t="s">
        <v>2354</v>
      </c>
      <c r="C154" s="1209"/>
      <c r="D154" s="1209"/>
      <c r="E154" s="1209"/>
      <c r="F154" s="1209"/>
      <c r="G154" s="1209"/>
      <c r="H154" s="1209"/>
      <c r="I154" s="1209"/>
      <c r="J154" s="1209"/>
      <c r="K154" s="1209"/>
      <c r="L154" s="1209"/>
      <c r="M154" s="1210"/>
      <c r="N154" s="1194"/>
      <c r="O154" s="1194"/>
      <c r="P154" s="1189"/>
      <c r="Q154" s="1189"/>
      <c r="R154" s="1189"/>
      <c r="S154" s="1189"/>
      <c r="T154" s="1189"/>
      <c r="U154" s="1189" t="s">
        <v>250</v>
      </c>
      <c r="V154" s="1189"/>
      <c r="W154" s="1189"/>
      <c r="X154" s="1208" t="s">
        <v>2353</v>
      </c>
      <c r="Y154" s="1209"/>
      <c r="Z154" s="1209"/>
      <c r="AA154" s="1209"/>
      <c r="AB154" s="1209"/>
      <c r="AC154" s="1209"/>
      <c r="AD154" s="1209"/>
      <c r="AE154" s="1209"/>
      <c r="AF154" s="1209"/>
      <c r="AG154" s="1209"/>
      <c r="AH154" s="1209"/>
      <c r="AI154" s="1209"/>
      <c r="AJ154" s="1209"/>
      <c r="AK154" s="1203"/>
      <c r="AL154" s="1203"/>
      <c r="AM154" s="1204"/>
      <c r="AN154" s="1189"/>
      <c r="AO154" s="1189"/>
      <c r="AP154" s="1189"/>
      <c r="AQ154" s="1189"/>
      <c r="AR154" s="1189"/>
      <c r="AS154" s="1189"/>
      <c r="AT154" s="1189"/>
      <c r="AU154" s="1189"/>
      <c r="AV154" s="1189"/>
      <c r="AW154" s="1189"/>
      <c r="AX154" s="1189"/>
      <c r="AY154" s="1189"/>
      <c r="AZ154" s="1189"/>
      <c r="BA154" s="1189"/>
      <c r="BB154" s="1189"/>
      <c r="BC154" s="1189"/>
      <c r="BD154" s="1189"/>
      <c r="BE154" s="1193"/>
    </row>
    <row r="155" spans="1:57" ht="15.75" customHeight="1" thickBot="1">
      <c r="A155" s="1189"/>
      <c r="B155" s="1189"/>
      <c r="C155" s="1189"/>
      <c r="D155" s="1189"/>
      <c r="E155" s="1189"/>
      <c r="F155" s="1189"/>
      <c r="G155" s="1189"/>
      <c r="H155" s="1189"/>
      <c r="I155" s="1189"/>
      <c r="J155" s="1189"/>
      <c r="K155" s="1189"/>
      <c r="L155" s="1189"/>
      <c r="M155" s="1189"/>
      <c r="N155" s="1189"/>
      <c r="O155" s="1189"/>
      <c r="P155" s="1194"/>
      <c r="Q155" s="1189"/>
      <c r="R155" s="1189"/>
      <c r="S155" s="1189"/>
      <c r="T155" s="1189"/>
      <c r="U155" s="1189"/>
      <c r="V155" s="1189"/>
      <c r="W155" s="1189"/>
      <c r="X155" s="1189"/>
      <c r="Y155" s="1189"/>
      <c r="Z155" s="1189"/>
      <c r="AA155" s="1189"/>
      <c r="AB155" s="1189"/>
      <c r="AC155" s="1189"/>
      <c r="AD155" s="1189"/>
      <c r="AE155" s="1189"/>
      <c r="AF155" s="1189"/>
      <c r="AG155" s="1189"/>
      <c r="AH155" s="1189"/>
      <c r="AI155" s="1189"/>
      <c r="AJ155" s="1189"/>
      <c r="AK155" s="1189"/>
      <c r="AL155" s="1189"/>
      <c r="AM155" s="1189"/>
      <c r="AN155" s="1189"/>
      <c r="AO155" s="1189"/>
      <c r="AP155" s="1189"/>
      <c r="AQ155" s="1189"/>
      <c r="AR155" s="1189"/>
      <c r="AS155" s="1189"/>
      <c r="AT155" s="1189"/>
      <c r="AU155" s="1189"/>
      <c r="AV155" s="1189"/>
      <c r="AW155" s="1189"/>
      <c r="AX155" s="1189"/>
      <c r="AY155" s="1189"/>
      <c r="AZ155" s="1189"/>
      <c r="BA155" s="1189"/>
      <c r="BB155" s="1189"/>
      <c r="BC155" s="1189"/>
      <c r="BD155" s="1189"/>
      <c r="BE155" s="1193"/>
    </row>
    <row r="156" spans="1:57" ht="15.75" customHeight="1">
      <c r="A156" s="1189"/>
      <c r="B156" s="2083" t="s">
        <v>2352</v>
      </c>
      <c r="C156" s="2039"/>
      <c r="D156" s="2039"/>
      <c r="E156" s="2039"/>
      <c r="F156" s="2039"/>
      <c r="G156" s="2039"/>
      <c r="H156" s="2039"/>
      <c r="I156" s="2039"/>
      <c r="J156" s="2039"/>
      <c r="K156" s="2039"/>
      <c r="L156" s="2039"/>
      <c r="M156" s="2039"/>
      <c r="N156" s="2039"/>
      <c r="O156" s="2039"/>
      <c r="P156" s="2039"/>
      <c r="Q156" s="2039"/>
      <c r="R156" s="2039"/>
      <c r="S156" s="2039"/>
      <c r="T156" s="2039"/>
      <c r="U156" s="2040"/>
      <c r="V156" s="1189"/>
      <c r="W156" s="1191"/>
      <c r="X156" s="2083" t="s">
        <v>2351</v>
      </c>
      <c r="Y156" s="2039"/>
      <c r="Z156" s="2039"/>
      <c r="AA156" s="2039"/>
      <c r="AB156" s="2039"/>
      <c r="AC156" s="2039"/>
      <c r="AD156" s="2039"/>
      <c r="AE156" s="2039"/>
      <c r="AF156" s="2039"/>
      <c r="AG156" s="2039"/>
      <c r="AH156" s="2039"/>
      <c r="AI156" s="2039"/>
      <c r="AJ156" s="2039"/>
      <c r="AK156" s="2039"/>
      <c r="AL156" s="2039"/>
      <c r="AM156" s="2039"/>
      <c r="AN156" s="2039"/>
      <c r="AO156" s="2039"/>
      <c r="AP156" s="2039"/>
      <c r="AQ156" s="2040"/>
      <c r="AR156" s="1189"/>
      <c r="AS156" s="1189"/>
      <c r="AT156" s="1189"/>
      <c r="AU156" s="1189"/>
      <c r="AV156" s="1189"/>
      <c r="AW156" s="1189"/>
      <c r="AX156" s="1189"/>
      <c r="AY156" s="1189"/>
      <c r="AZ156" s="1189"/>
      <c r="BA156" s="1189"/>
      <c r="BB156" s="1189"/>
      <c r="BC156" s="1189"/>
      <c r="BD156" s="1189"/>
      <c r="BE156" s="1193"/>
    </row>
    <row r="157" spans="1:57" ht="15.75" customHeight="1">
      <c r="A157" s="1189"/>
      <c r="B157" s="2051"/>
      <c r="C157" s="2052"/>
      <c r="D157" s="2052"/>
      <c r="E157" s="2052"/>
      <c r="F157" s="2052"/>
      <c r="G157" s="2052"/>
      <c r="H157" s="2052"/>
      <c r="I157" s="2089" t="s">
        <v>2349</v>
      </c>
      <c r="J157" s="2089"/>
      <c r="K157" s="2089"/>
      <c r="L157" s="2089"/>
      <c r="M157" s="2089"/>
      <c r="N157" s="2089"/>
      <c r="O157" s="2089"/>
      <c r="P157" s="2089" t="s">
        <v>2350</v>
      </c>
      <c r="Q157" s="2089"/>
      <c r="R157" s="2089"/>
      <c r="S157" s="2089"/>
      <c r="T157" s="2089"/>
      <c r="U157" s="2090"/>
      <c r="V157" s="1189"/>
      <c r="W157" s="1189"/>
      <c r="X157" s="2051"/>
      <c r="Y157" s="2052"/>
      <c r="Z157" s="2052"/>
      <c r="AA157" s="2052"/>
      <c r="AB157" s="2052"/>
      <c r="AC157" s="2052"/>
      <c r="AD157" s="2052"/>
      <c r="AE157" s="2089" t="s">
        <v>2349</v>
      </c>
      <c r="AF157" s="2089"/>
      <c r="AG157" s="2089"/>
      <c r="AH157" s="2089"/>
      <c r="AI157" s="2089"/>
      <c r="AJ157" s="2089"/>
      <c r="AK157" s="2089"/>
      <c r="AL157" s="2089" t="s">
        <v>2348</v>
      </c>
      <c r="AM157" s="2089"/>
      <c r="AN157" s="2089"/>
      <c r="AO157" s="2089"/>
      <c r="AP157" s="2089"/>
      <c r="AQ157" s="2090"/>
      <c r="AR157" s="1189"/>
      <c r="AS157" s="1189"/>
      <c r="AT157" s="1189"/>
      <c r="AU157" s="1189"/>
      <c r="AV157" s="1189"/>
      <c r="AW157" s="1189"/>
      <c r="AX157" s="1189"/>
      <c r="AY157" s="1189"/>
      <c r="AZ157" s="1189"/>
      <c r="BA157" s="1189"/>
      <c r="BB157" s="1189"/>
      <c r="BC157" s="1189"/>
      <c r="BD157" s="1189"/>
      <c r="BE157" s="1193"/>
    </row>
    <row r="158" spans="1:57" ht="15.75" customHeight="1">
      <c r="A158" s="1189"/>
      <c r="B158" s="2051"/>
      <c r="C158" s="2052"/>
      <c r="D158" s="2052"/>
      <c r="E158" s="2052"/>
      <c r="F158" s="2052"/>
      <c r="G158" s="2052"/>
      <c r="H158" s="2052"/>
      <c r="I158" s="2089"/>
      <c r="J158" s="2089"/>
      <c r="K158" s="2089"/>
      <c r="L158" s="2089"/>
      <c r="M158" s="2089"/>
      <c r="N158" s="2089"/>
      <c r="O158" s="2089"/>
      <c r="P158" s="2089"/>
      <c r="Q158" s="2089"/>
      <c r="R158" s="2089"/>
      <c r="S158" s="2089"/>
      <c r="T158" s="2089"/>
      <c r="U158" s="2090"/>
      <c r="V158" s="1189"/>
      <c r="W158" s="1189"/>
      <c r="X158" s="2051"/>
      <c r="Y158" s="2052"/>
      <c r="Z158" s="2052"/>
      <c r="AA158" s="2052"/>
      <c r="AB158" s="2052"/>
      <c r="AC158" s="2052"/>
      <c r="AD158" s="2052"/>
      <c r="AE158" s="2089"/>
      <c r="AF158" s="2089"/>
      <c r="AG158" s="2089"/>
      <c r="AH158" s="2089"/>
      <c r="AI158" s="2089"/>
      <c r="AJ158" s="2089"/>
      <c r="AK158" s="2089"/>
      <c r="AL158" s="2089"/>
      <c r="AM158" s="2089"/>
      <c r="AN158" s="2089"/>
      <c r="AO158" s="2089"/>
      <c r="AP158" s="2089"/>
      <c r="AQ158" s="2090"/>
      <c r="AR158" s="1189"/>
      <c r="AS158" s="1189"/>
      <c r="AT158" s="1189"/>
      <c r="AU158" s="1189"/>
      <c r="AV158" s="1189"/>
      <c r="AW158" s="1189"/>
      <c r="AX158" s="1189"/>
      <c r="AY158" s="1189"/>
      <c r="AZ158" s="1189"/>
      <c r="BA158" s="1189"/>
      <c r="BB158" s="1189"/>
      <c r="BC158" s="1189"/>
      <c r="BD158" s="1189"/>
      <c r="BE158" s="1193"/>
    </row>
    <row r="159" spans="1:57" ht="15.75" customHeight="1" thickBot="1">
      <c r="A159" s="1189"/>
      <c r="B159" s="2085" t="s">
        <v>2347</v>
      </c>
      <c r="C159" s="2086"/>
      <c r="D159" s="2086"/>
      <c r="E159" s="2086"/>
      <c r="F159" s="2086"/>
      <c r="G159" s="2086"/>
      <c r="H159" s="2086"/>
      <c r="I159" s="2087">
        <v>0</v>
      </c>
      <c r="J159" s="2087"/>
      <c r="K159" s="2087"/>
      <c r="L159" s="2087"/>
      <c r="M159" s="2087"/>
      <c r="N159" s="2087"/>
      <c r="O159" s="2087"/>
      <c r="P159" s="2087">
        <v>0</v>
      </c>
      <c r="Q159" s="2087"/>
      <c r="R159" s="2087"/>
      <c r="S159" s="2087"/>
      <c r="T159" s="2087"/>
      <c r="U159" s="2088"/>
      <c r="V159" s="1189"/>
      <c r="W159" s="1189"/>
      <c r="X159" s="2079" t="s">
        <v>2347</v>
      </c>
      <c r="Y159" s="2080"/>
      <c r="Z159" s="2080"/>
      <c r="AA159" s="2080"/>
      <c r="AB159" s="2080"/>
      <c r="AC159" s="2080"/>
      <c r="AD159" s="2080"/>
      <c r="AE159" s="2081">
        <v>0</v>
      </c>
      <c r="AF159" s="2081"/>
      <c r="AG159" s="2081"/>
      <c r="AH159" s="2081"/>
      <c r="AI159" s="2081"/>
      <c r="AJ159" s="2081"/>
      <c r="AK159" s="2081"/>
      <c r="AL159" s="2081">
        <v>0</v>
      </c>
      <c r="AM159" s="2081"/>
      <c r="AN159" s="2081"/>
      <c r="AO159" s="2081"/>
      <c r="AP159" s="2081"/>
      <c r="AQ159" s="2082"/>
      <c r="AR159" s="1189"/>
      <c r="AS159" s="1189"/>
      <c r="AT159" s="1189"/>
      <c r="AU159" s="1189"/>
      <c r="AV159" s="1189"/>
      <c r="AW159" s="1189"/>
      <c r="AX159" s="1189"/>
      <c r="AY159" s="1189"/>
      <c r="AZ159" s="1189"/>
      <c r="BA159" s="1189"/>
      <c r="BB159" s="1189"/>
      <c r="BC159" s="1189"/>
      <c r="BD159" s="1189"/>
      <c r="BE159" s="1193"/>
    </row>
    <row r="160" spans="1:57" ht="15.75" customHeight="1" thickBot="1">
      <c r="A160" s="1189"/>
      <c r="B160" s="2079" t="s">
        <v>2346</v>
      </c>
      <c r="C160" s="2080"/>
      <c r="D160" s="2080"/>
      <c r="E160" s="2080"/>
      <c r="F160" s="2080"/>
      <c r="G160" s="2080"/>
      <c r="H160" s="2080"/>
      <c r="I160" s="2081">
        <v>0</v>
      </c>
      <c r="J160" s="2081"/>
      <c r="K160" s="2081"/>
      <c r="L160" s="2081"/>
      <c r="M160" s="2081"/>
      <c r="N160" s="2081"/>
      <c r="O160" s="2081"/>
      <c r="P160" s="2081">
        <v>0</v>
      </c>
      <c r="Q160" s="2081"/>
      <c r="R160" s="2081"/>
      <c r="S160" s="2081"/>
      <c r="T160" s="2081"/>
      <c r="U160" s="2082"/>
      <c r="V160" s="1189"/>
      <c r="W160" s="1189"/>
      <c r="X160" s="1189"/>
      <c r="Y160" s="1189"/>
      <c r="Z160" s="1189"/>
      <c r="AA160" s="1189"/>
      <c r="AB160" s="1189"/>
      <c r="AC160" s="1189"/>
      <c r="AD160" s="1189"/>
      <c r="AE160" s="1189"/>
      <c r="AF160" s="1189"/>
      <c r="AG160" s="1189"/>
      <c r="AH160" s="1189"/>
      <c r="AI160" s="1189"/>
      <c r="AJ160" s="1189"/>
      <c r="AK160" s="1189"/>
      <c r="AL160" s="1189"/>
      <c r="AM160" s="1189"/>
      <c r="AN160" s="1189"/>
      <c r="AO160" s="1189"/>
      <c r="AP160" s="1189"/>
      <c r="AQ160" s="1189"/>
      <c r="AR160" s="1189"/>
      <c r="AS160" s="1189"/>
      <c r="AT160" s="1189"/>
      <c r="AU160" s="1189"/>
      <c r="AV160" s="1189"/>
      <c r="AW160" s="1189"/>
      <c r="AX160" s="1189"/>
      <c r="AY160" s="1189"/>
      <c r="AZ160" s="1189"/>
      <c r="BA160" s="1189"/>
      <c r="BB160" s="1189"/>
      <c r="BC160" s="1189"/>
      <c r="BD160" s="1189"/>
      <c r="BE160" s="1193"/>
    </row>
    <row r="161" spans="1:57" ht="15.75" customHeight="1" thickBot="1">
      <c r="A161" s="1189"/>
      <c r="B161" s="1189"/>
      <c r="C161" s="1189"/>
      <c r="D161" s="1189"/>
      <c r="E161" s="1189"/>
      <c r="F161" s="1189"/>
      <c r="G161" s="1189"/>
      <c r="H161" s="1189"/>
      <c r="I161" s="1189"/>
      <c r="J161" s="1189"/>
      <c r="K161" s="1189"/>
      <c r="L161" s="1189"/>
      <c r="M161" s="1189"/>
      <c r="N161" s="1189"/>
      <c r="O161" s="1189"/>
      <c r="P161" s="1189"/>
      <c r="Q161" s="1189"/>
      <c r="R161" s="1189"/>
      <c r="S161" s="1189"/>
      <c r="T161" s="1189"/>
      <c r="U161" s="1189"/>
      <c r="V161" s="1189"/>
      <c r="W161" s="1189"/>
      <c r="X161" s="1189"/>
      <c r="Y161" s="1189"/>
      <c r="Z161" s="1189"/>
      <c r="AA161" s="1189"/>
      <c r="AB161" s="1189"/>
      <c r="AC161" s="1189"/>
      <c r="AD161" s="1189"/>
      <c r="AE161" s="1189"/>
      <c r="AF161" s="1189"/>
      <c r="AG161" s="1189"/>
      <c r="AH161" s="1189"/>
      <c r="AI161" s="1189"/>
      <c r="AJ161" s="1189"/>
      <c r="AK161" s="1189"/>
      <c r="AL161" s="1189"/>
      <c r="AM161" s="1189"/>
      <c r="AN161" s="1189"/>
      <c r="AO161" s="1189"/>
      <c r="AP161" s="1189"/>
      <c r="AQ161" s="1189"/>
      <c r="AR161" s="1189"/>
      <c r="AS161" s="1189"/>
      <c r="AT161" s="1189"/>
      <c r="AU161" s="1189"/>
      <c r="AV161" s="1189"/>
      <c r="AW161" s="1189"/>
      <c r="AX161" s="1189"/>
      <c r="AY161" s="1189"/>
      <c r="AZ161" s="1189"/>
      <c r="BA161" s="1189"/>
      <c r="BB161" s="1189"/>
      <c r="BC161" s="1189"/>
      <c r="BD161" s="1189"/>
      <c r="BE161" s="1193"/>
    </row>
    <row r="162" spans="1:57" ht="15.75" customHeight="1">
      <c r="A162" s="1189"/>
      <c r="B162" s="1189"/>
      <c r="C162" s="2083" t="s">
        <v>2345</v>
      </c>
      <c r="D162" s="2039"/>
      <c r="E162" s="2039"/>
      <c r="F162" s="2039"/>
      <c r="G162" s="2039"/>
      <c r="H162" s="2039"/>
      <c r="I162" s="2039"/>
      <c r="J162" s="2039"/>
      <c r="K162" s="2039"/>
      <c r="L162" s="2039"/>
      <c r="M162" s="2039"/>
      <c r="N162" s="2039"/>
      <c r="O162" s="2039"/>
      <c r="P162" s="2039"/>
      <c r="Q162" s="2039"/>
      <c r="R162" s="2039"/>
      <c r="S162" s="2039"/>
      <c r="T162" s="2039"/>
      <c r="U162" s="2039"/>
      <c r="V162" s="2039"/>
      <c r="W162" s="2039"/>
      <c r="X162" s="2039"/>
      <c r="Y162" s="2039"/>
      <c r="Z162" s="2039"/>
      <c r="AA162" s="2039"/>
      <c r="AB162" s="2039"/>
      <c r="AC162" s="2039"/>
      <c r="AD162" s="2039"/>
      <c r="AE162" s="2039"/>
      <c r="AF162" s="2039"/>
      <c r="AG162" s="2040"/>
      <c r="AH162" s="1189"/>
      <c r="AI162" s="1189"/>
      <c r="AJ162" s="1189"/>
      <c r="AK162" s="1189"/>
      <c r="AL162" s="1189"/>
      <c r="AM162" s="1189"/>
      <c r="AN162" s="1189"/>
      <c r="AO162" s="1189"/>
      <c r="AP162" s="1189"/>
      <c r="AQ162" s="1189"/>
      <c r="AR162" s="1189"/>
      <c r="AS162" s="1189"/>
      <c r="AT162" s="1189"/>
      <c r="AU162" s="1189"/>
      <c r="AV162" s="1189"/>
      <c r="AW162" s="1189"/>
      <c r="AX162" s="1189"/>
      <c r="AY162" s="1189"/>
      <c r="AZ162" s="1189"/>
      <c r="BA162" s="1189"/>
      <c r="BB162" s="1189"/>
      <c r="BC162" s="1189"/>
      <c r="BD162" s="1189"/>
      <c r="BE162" s="1193"/>
    </row>
    <row r="163" spans="1:57" ht="15.75" customHeight="1">
      <c r="A163" s="1189"/>
      <c r="B163" s="1189"/>
      <c r="C163" s="2051" t="s">
        <v>2330</v>
      </c>
      <c r="D163" s="2052"/>
      <c r="E163" s="2052"/>
      <c r="F163" s="2052"/>
      <c r="G163" s="2052"/>
      <c r="H163" s="2052"/>
      <c r="I163" s="2052"/>
      <c r="J163" s="2052"/>
      <c r="K163" s="2052"/>
      <c r="L163" s="2052"/>
      <c r="M163" s="2052"/>
      <c r="N163" s="2052"/>
      <c r="O163" s="2052"/>
      <c r="P163" s="2052"/>
      <c r="Q163" s="2052" t="s">
        <v>2344</v>
      </c>
      <c r="R163" s="2052"/>
      <c r="S163" s="2052"/>
      <c r="T163" s="2084" t="s">
        <v>2343</v>
      </c>
      <c r="U163" s="2084"/>
      <c r="V163" s="2084"/>
      <c r="W163" s="2084"/>
      <c r="X163" s="2084"/>
      <c r="Y163" s="2084"/>
      <c r="Z163" s="2084"/>
      <c r="AA163" s="2084"/>
      <c r="AB163" s="2052" t="s">
        <v>2342</v>
      </c>
      <c r="AC163" s="2052"/>
      <c r="AD163" s="2052"/>
      <c r="AE163" s="2052"/>
      <c r="AF163" s="2052"/>
      <c r="AG163" s="2053"/>
      <c r="AH163" s="1189"/>
      <c r="AI163" s="1189"/>
      <c r="AJ163" s="1189"/>
      <c r="AK163" s="1189"/>
      <c r="AL163" s="1189"/>
      <c r="AM163" s="1189"/>
      <c r="AN163" s="1189"/>
      <c r="AO163" s="1189"/>
      <c r="AP163" s="1189"/>
      <c r="AQ163" s="1189"/>
      <c r="AR163" s="1189"/>
      <c r="AS163" s="1189"/>
      <c r="AT163" s="1189"/>
      <c r="AU163" s="1189"/>
      <c r="AV163" s="1189"/>
      <c r="AW163" s="1189"/>
      <c r="AX163" s="1189"/>
      <c r="AY163" s="1189"/>
      <c r="AZ163" s="1189"/>
      <c r="BA163" s="1189"/>
      <c r="BB163" s="1189"/>
      <c r="BC163" s="1189"/>
      <c r="BD163" s="1189"/>
      <c r="BE163" s="1193"/>
    </row>
    <row r="164" spans="1:57" ht="15.75" customHeight="1">
      <c r="A164" s="1189"/>
      <c r="B164" s="1189"/>
      <c r="C164" s="2066" t="s">
        <v>2341</v>
      </c>
      <c r="D164" s="2067"/>
      <c r="E164" s="2067"/>
      <c r="F164" s="2067"/>
      <c r="G164" s="2067"/>
      <c r="H164" s="2067"/>
      <c r="I164" s="2067"/>
      <c r="J164" s="2067"/>
      <c r="K164" s="2067"/>
      <c r="L164" s="2067"/>
      <c r="M164" s="2067"/>
      <c r="N164" s="2067"/>
      <c r="O164" s="2067"/>
      <c r="P164" s="2067"/>
      <c r="Q164" s="2009">
        <v>55</v>
      </c>
      <c r="R164" s="2009"/>
      <c r="S164" s="2009"/>
      <c r="T164" s="2060"/>
      <c r="U164" s="2060"/>
      <c r="V164" s="2060"/>
      <c r="W164" s="2060"/>
      <c r="X164" s="2060"/>
      <c r="Y164" s="2060"/>
      <c r="Z164" s="2060"/>
      <c r="AA164" s="2060"/>
      <c r="AB164" s="1225"/>
      <c r="AC164" s="1225"/>
      <c r="AD164" s="1225"/>
      <c r="AE164" s="1225"/>
      <c r="AF164" s="1225"/>
      <c r="AG164" s="1226"/>
      <c r="AH164" s="1189"/>
      <c r="AI164" s="1189"/>
      <c r="AJ164" s="1189"/>
      <c r="AK164" s="1189"/>
      <c r="AL164" s="1189"/>
      <c r="AM164" s="1189"/>
      <c r="AN164" s="1189"/>
      <c r="AO164" s="1189"/>
      <c r="AP164" s="1189" t="s">
        <v>250</v>
      </c>
      <c r="AQ164" s="1189"/>
      <c r="AR164" s="1189"/>
      <c r="AS164" s="1189"/>
      <c r="AT164" s="1189"/>
      <c r="AU164" s="1189"/>
      <c r="AV164" s="1189"/>
      <c r="AW164" s="1189"/>
      <c r="AX164" s="1189"/>
      <c r="AY164" s="1189"/>
      <c r="AZ164" s="1189"/>
      <c r="BA164" s="1189"/>
      <c r="BB164" s="1189"/>
      <c r="BC164" s="1189"/>
      <c r="BD164" s="1189"/>
      <c r="BE164" s="1193"/>
    </row>
    <row r="165" spans="1:57" ht="15.75" customHeight="1">
      <c r="A165" s="1189"/>
      <c r="B165" s="1189"/>
      <c r="C165" s="2066" t="s">
        <v>2340</v>
      </c>
      <c r="D165" s="2067"/>
      <c r="E165" s="2067"/>
      <c r="F165" s="2067"/>
      <c r="G165" s="2067"/>
      <c r="H165" s="2067"/>
      <c r="I165" s="2067"/>
      <c r="J165" s="2067"/>
      <c r="K165" s="2067"/>
      <c r="L165" s="2067"/>
      <c r="M165" s="2067"/>
      <c r="N165" s="2067"/>
      <c r="O165" s="2067"/>
      <c r="P165" s="2067"/>
      <c r="Q165" s="2009">
        <v>55</v>
      </c>
      <c r="R165" s="2009"/>
      <c r="S165" s="2009"/>
      <c r="T165" s="2069"/>
      <c r="U165" s="2069"/>
      <c r="V165" s="2069"/>
      <c r="W165" s="2069"/>
      <c r="X165" s="2069"/>
      <c r="Y165" s="2069"/>
      <c r="Z165" s="2069"/>
      <c r="AA165" s="2069"/>
      <c r="AB165" s="1225"/>
      <c r="AC165" s="1225"/>
      <c r="AD165" s="1225"/>
      <c r="AE165" s="1225"/>
      <c r="AF165" s="1225"/>
      <c r="AG165" s="1226"/>
      <c r="AH165" s="1189"/>
      <c r="AI165" s="1189"/>
      <c r="AJ165" s="1189"/>
      <c r="AK165" s="1189"/>
      <c r="AL165" s="1189"/>
      <c r="AM165" s="1189"/>
      <c r="AN165" s="1189"/>
      <c r="AO165" s="1189"/>
      <c r="AP165" s="1189"/>
      <c r="AQ165" s="1189"/>
      <c r="AR165" s="1189"/>
      <c r="AS165" s="1189"/>
      <c r="AT165" s="1189"/>
      <c r="AU165" s="1189"/>
      <c r="AV165" s="1189"/>
      <c r="AW165" s="1189"/>
      <c r="AX165" s="1189"/>
      <c r="AY165" s="1189"/>
      <c r="AZ165" s="1189"/>
      <c r="BA165" s="1189"/>
      <c r="BB165" s="1189"/>
      <c r="BC165" s="1189"/>
      <c r="BD165" s="1189"/>
      <c r="BE165" s="1193"/>
    </row>
    <row r="166" spans="1:57" ht="15.75" customHeight="1">
      <c r="A166" s="1189"/>
      <c r="B166" s="1189"/>
      <c r="C166" s="2066" t="s">
        <v>2339</v>
      </c>
      <c r="D166" s="2067"/>
      <c r="E166" s="2067"/>
      <c r="F166" s="2067"/>
      <c r="G166" s="2067"/>
      <c r="H166" s="2067"/>
      <c r="I166" s="2067"/>
      <c r="J166" s="2067"/>
      <c r="K166" s="2067"/>
      <c r="L166" s="2067"/>
      <c r="M166" s="2067"/>
      <c r="N166" s="2067"/>
      <c r="O166" s="2067"/>
      <c r="P166" s="2067"/>
      <c r="Q166" s="2009">
        <v>55</v>
      </c>
      <c r="R166" s="2009"/>
      <c r="S166" s="2009"/>
      <c r="T166" s="2060"/>
      <c r="U166" s="2060"/>
      <c r="V166" s="2060"/>
      <c r="W166" s="2060"/>
      <c r="X166" s="2060"/>
      <c r="Y166" s="2060"/>
      <c r="Z166" s="2060"/>
      <c r="AA166" s="2060"/>
      <c r="AB166" s="1225"/>
      <c r="AC166" s="1225"/>
      <c r="AD166" s="1225"/>
      <c r="AE166" s="1225"/>
      <c r="AF166" s="1225"/>
      <c r="AG166" s="1226"/>
      <c r="AH166" s="1189"/>
      <c r="AI166" s="1189"/>
      <c r="AJ166" s="1189"/>
      <c r="AK166" s="1189"/>
      <c r="AL166" s="1189"/>
      <c r="AM166" s="1189"/>
      <c r="AN166" s="1189"/>
      <c r="AO166" s="1189"/>
      <c r="AP166" s="1189"/>
      <c r="AQ166" s="1189"/>
      <c r="AR166" s="1189"/>
      <c r="AS166" s="1189"/>
      <c r="AT166" s="1189"/>
      <c r="AU166" s="1189"/>
      <c r="AV166" s="1189"/>
      <c r="AW166" s="1189"/>
      <c r="AX166" s="1189"/>
      <c r="AY166" s="1189"/>
      <c r="AZ166" s="1189"/>
      <c r="BA166" s="1189"/>
      <c r="BB166" s="1189"/>
      <c r="BC166" s="1189"/>
      <c r="BD166" s="1189"/>
      <c r="BE166" s="1193"/>
    </row>
    <row r="167" spans="1:57" ht="15.75" customHeight="1">
      <c r="A167" s="1189"/>
      <c r="B167" s="1189"/>
      <c r="C167" s="2066" t="s">
        <v>2338</v>
      </c>
      <c r="D167" s="2067"/>
      <c r="E167" s="2067"/>
      <c r="F167" s="2067"/>
      <c r="G167" s="2067"/>
      <c r="H167" s="2067"/>
      <c r="I167" s="2067"/>
      <c r="J167" s="2067"/>
      <c r="K167" s="2067"/>
      <c r="L167" s="2067"/>
      <c r="M167" s="2067"/>
      <c r="N167" s="2067"/>
      <c r="O167" s="2067"/>
      <c r="P167" s="2067"/>
      <c r="Q167" s="2009">
        <v>55</v>
      </c>
      <c r="R167" s="2009"/>
      <c r="S167" s="2009"/>
      <c r="T167" s="2060"/>
      <c r="U167" s="2060"/>
      <c r="V167" s="2060"/>
      <c r="W167" s="2060"/>
      <c r="X167" s="2060"/>
      <c r="Y167" s="2060"/>
      <c r="Z167" s="2060"/>
      <c r="AA167" s="2060"/>
      <c r="AB167" s="2070">
        <v>0</v>
      </c>
      <c r="AC167" s="2070"/>
      <c r="AD167" s="2070"/>
      <c r="AE167" s="2070"/>
      <c r="AF167" s="2070"/>
      <c r="AG167" s="2071"/>
      <c r="AH167" s="1189"/>
      <c r="AI167" s="1189"/>
      <c r="AJ167" s="1189"/>
      <c r="AK167" s="1189"/>
      <c r="AL167" s="1189"/>
      <c r="AM167" s="1189"/>
      <c r="AN167" s="1189"/>
      <c r="AO167" s="1189"/>
      <c r="AP167" s="1189"/>
      <c r="AQ167" s="1189"/>
      <c r="AR167" s="1189"/>
      <c r="AS167" s="1189"/>
      <c r="AT167" s="1189"/>
      <c r="AU167" s="1189"/>
      <c r="AV167" s="1189"/>
      <c r="AW167" s="1189"/>
      <c r="AX167" s="1189"/>
      <c r="AY167" s="1189"/>
      <c r="AZ167" s="1189"/>
      <c r="BA167" s="1189"/>
      <c r="BB167" s="1189"/>
      <c r="BC167" s="1189"/>
      <c r="BD167" s="1189"/>
      <c r="BE167" s="1193"/>
    </row>
    <row r="168" spans="1:57" ht="15.75" customHeight="1">
      <c r="A168" s="1189"/>
      <c r="B168" s="1189"/>
      <c r="C168" s="2066" t="s">
        <v>170</v>
      </c>
      <c r="D168" s="2067"/>
      <c r="E168" s="2067"/>
      <c r="F168" s="2068" t="s">
        <v>2319</v>
      </c>
      <c r="G168" s="2068"/>
      <c r="H168" s="2068"/>
      <c r="I168" s="2068"/>
      <c r="J168" s="2068"/>
      <c r="K168" s="2068"/>
      <c r="L168" s="2068"/>
      <c r="M168" s="2068"/>
      <c r="N168" s="2068"/>
      <c r="O168" s="2068"/>
      <c r="P168" s="2068"/>
      <c r="Q168" s="2009">
        <v>55</v>
      </c>
      <c r="R168" s="2009"/>
      <c r="S168" s="2009"/>
      <c r="T168" s="2069"/>
      <c r="U168" s="2069"/>
      <c r="V168" s="2069"/>
      <c r="W168" s="2069"/>
      <c r="X168" s="2069"/>
      <c r="Y168" s="2069"/>
      <c r="Z168" s="2069"/>
      <c r="AA168" s="2069"/>
      <c r="AB168" s="2070">
        <v>0</v>
      </c>
      <c r="AC168" s="2070"/>
      <c r="AD168" s="2070"/>
      <c r="AE168" s="2070"/>
      <c r="AF168" s="2070"/>
      <c r="AG168" s="2071"/>
      <c r="AH168" s="1189"/>
      <c r="AI168" s="1189"/>
      <c r="AJ168" s="1189"/>
      <c r="AK168" s="1189"/>
      <c r="AL168" s="1189"/>
      <c r="AM168" s="1189"/>
      <c r="AN168" s="1189"/>
      <c r="AO168" s="1189"/>
      <c r="AP168" s="1189"/>
      <c r="AQ168" s="1189"/>
      <c r="AR168" s="1189"/>
      <c r="AS168" s="1189"/>
      <c r="AT168" s="1189"/>
      <c r="AU168" s="1189"/>
      <c r="AV168" s="1189"/>
      <c r="AW168" s="1189"/>
      <c r="AX168" s="1189"/>
      <c r="AY168" s="1189"/>
      <c r="AZ168" s="1189"/>
      <c r="BA168" s="1189"/>
      <c r="BB168" s="1189"/>
      <c r="BC168" s="1189"/>
      <c r="BD168" s="1189"/>
      <c r="BE168" s="1193"/>
    </row>
    <row r="169" spans="1:57" ht="15.75" customHeight="1">
      <c r="A169" s="1189"/>
      <c r="B169" s="1189"/>
      <c r="C169" s="2066" t="s">
        <v>170</v>
      </c>
      <c r="D169" s="2067"/>
      <c r="E169" s="2067"/>
      <c r="F169" s="2068" t="s">
        <v>2319</v>
      </c>
      <c r="G169" s="2068"/>
      <c r="H169" s="2068"/>
      <c r="I169" s="2068"/>
      <c r="J169" s="2068"/>
      <c r="K169" s="2068"/>
      <c r="L169" s="2068"/>
      <c r="M169" s="2068"/>
      <c r="N169" s="2068"/>
      <c r="O169" s="2068"/>
      <c r="P169" s="2068"/>
      <c r="Q169" s="2009">
        <v>55</v>
      </c>
      <c r="R169" s="2009"/>
      <c r="S169" s="2009"/>
      <c r="T169" s="2069"/>
      <c r="U169" s="2069"/>
      <c r="V169" s="2069"/>
      <c r="W169" s="2069"/>
      <c r="X169" s="2069"/>
      <c r="Y169" s="2069"/>
      <c r="Z169" s="2069"/>
      <c r="AA169" s="2069"/>
      <c r="AB169" s="2070">
        <v>0</v>
      </c>
      <c r="AC169" s="2070"/>
      <c r="AD169" s="2070"/>
      <c r="AE169" s="2070"/>
      <c r="AF169" s="2070"/>
      <c r="AG169" s="2071"/>
      <c r="AH169" s="1189"/>
      <c r="AI169" s="1189"/>
      <c r="AJ169" s="1189"/>
      <c r="AK169" s="1189" t="s">
        <v>250</v>
      </c>
      <c r="AL169" s="1189"/>
      <c r="AM169" s="1189"/>
      <c r="AN169" s="1189"/>
      <c r="AO169" s="1189"/>
      <c r="AP169" s="1189"/>
      <c r="AQ169" s="1189"/>
      <c r="AR169" s="1189"/>
      <c r="AS169" s="1189"/>
      <c r="AT169" s="1189"/>
      <c r="AU169" s="1189"/>
      <c r="AV169" s="1189"/>
      <c r="AW169" s="1189"/>
      <c r="AX169" s="1189"/>
      <c r="AY169" s="1189"/>
      <c r="AZ169" s="1189"/>
      <c r="BA169" s="1189"/>
      <c r="BB169" s="1189"/>
      <c r="BC169" s="1189"/>
      <c r="BD169" s="1189"/>
      <c r="BE169" s="1193"/>
    </row>
    <row r="170" spans="1:57" ht="15.75" customHeight="1" thickBot="1">
      <c r="A170" s="1189"/>
      <c r="B170" s="1189"/>
      <c r="C170" s="2072" t="s">
        <v>170</v>
      </c>
      <c r="D170" s="2073"/>
      <c r="E170" s="2073"/>
      <c r="F170" s="2074" t="s">
        <v>2319</v>
      </c>
      <c r="G170" s="2074"/>
      <c r="H170" s="2074"/>
      <c r="I170" s="2074"/>
      <c r="J170" s="2074"/>
      <c r="K170" s="2074"/>
      <c r="L170" s="2074"/>
      <c r="M170" s="2074"/>
      <c r="N170" s="2074"/>
      <c r="O170" s="2074"/>
      <c r="P170" s="2074"/>
      <c r="Q170" s="2075">
        <v>55</v>
      </c>
      <c r="R170" s="2075"/>
      <c r="S170" s="2075"/>
      <c r="T170" s="2076"/>
      <c r="U170" s="2076"/>
      <c r="V170" s="2076"/>
      <c r="W170" s="2076"/>
      <c r="X170" s="2076"/>
      <c r="Y170" s="2076"/>
      <c r="Z170" s="2076"/>
      <c r="AA170" s="2076"/>
      <c r="AB170" s="2077">
        <v>0</v>
      </c>
      <c r="AC170" s="2077"/>
      <c r="AD170" s="2077"/>
      <c r="AE170" s="2077"/>
      <c r="AF170" s="2077"/>
      <c r="AG170" s="2078"/>
      <c r="AH170" s="1189"/>
      <c r="AI170" s="1189"/>
      <c r="AJ170" s="1189"/>
      <c r="AK170" s="1189"/>
      <c r="AL170" s="1189"/>
      <c r="AM170" s="1189"/>
      <c r="AN170" s="1189"/>
      <c r="AO170" s="1189"/>
      <c r="AP170" s="1189"/>
      <c r="AQ170" s="1189"/>
      <c r="AR170" s="1189"/>
      <c r="AS170" s="1189"/>
      <c r="AT170" s="1189"/>
      <c r="AU170" s="1189"/>
      <c r="AV170" s="1189"/>
      <c r="AW170" s="1189"/>
      <c r="AX170" s="1189"/>
      <c r="AY170" s="1189"/>
      <c r="AZ170" s="1189"/>
      <c r="BA170" s="1189"/>
      <c r="BB170" s="1189"/>
      <c r="BC170" s="1189"/>
      <c r="BD170" s="1189"/>
      <c r="BE170" s="1193"/>
    </row>
    <row r="171" spans="1:57" ht="15.75" customHeight="1" thickBot="1">
      <c r="A171" s="1189"/>
      <c r="B171" s="1189"/>
      <c r="C171" s="1189"/>
      <c r="D171" s="1189"/>
      <c r="E171" s="1189"/>
      <c r="F171" s="1189"/>
      <c r="G171" s="1189"/>
      <c r="H171" s="1189"/>
      <c r="I171" s="1189"/>
      <c r="J171" s="1189"/>
      <c r="K171" s="1189"/>
      <c r="L171" s="1189"/>
      <c r="M171" s="1189"/>
      <c r="N171" s="1189"/>
      <c r="O171" s="1189"/>
      <c r="P171" s="1189"/>
      <c r="Q171" s="1189"/>
      <c r="R171" s="1189"/>
      <c r="S171" s="1189"/>
      <c r="T171" s="1189"/>
      <c r="U171" s="1189"/>
      <c r="V171" s="1189"/>
      <c r="W171" s="1189"/>
      <c r="X171" s="1189"/>
      <c r="Y171" s="1189"/>
      <c r="Z171" s="1189"/>
      <c r="AA171" s="1189"/>
      <c r="AB171" s="1189"/>
      <c r="AC171" s="1189"/>
      <c r="AD171" s="1189"/>
      <c r="AE171" s="1189"/>
      <c r="AF171" s="1189"/>
      <c r="AG171" s="1189"/>
      <c r="AH171" s="1189"/>
      <c r="AI171" s="1189"/>
      <c r="AJ171" s="1189"/>
      <c r="AK171" s="1189"/>
      <c r="AL171" s="1189"/>
      <c r="AM171" s="1189"/>
      <c r="AN171" s="1189"/>
      <c r="AO171" s="1189"/>
      <c r="AP171" s="1189"/>
      <c r="AQ171" s="1189"/>
      <c r="AR171" s="1189"/>
      <c r="AS171" s="1189"/>
      <c r="AT171" s="1189"/>
      <c r="AU171" s="1189"/>
      <c r="AV171" s="1189"/>
      <c r="AW171" s="1189"/>
      <c r="AX171" s="1189"/>
      <c r="AY171" s="1189"/>
      <c r="AZ171" s="1189"/>
      <c r="BA171" s="1189"/>
      <c r="BB171" s="1189"/>
      <c r="BC171" s="1189"/>
      <c r="BD171" s="1189"/>
      <c r="BE171" s="1193"/>
    </row>
    <row r="172" spans="1:57" ht="15.75" customHeight="1">
      <c r="A172" s="1189"/>
      <c r="B172" s="1189"/>
      <c r="C172" s="2037" t="s">
        <v>2337</v>
      </c>
      <c r="D172" s="2038"/>
      <c r="E172" s="2038"/>
      <c r="F172" s="2038"/>
      <c r="G172" s="2038"/>
      <c r="H172" s="2038"/>
      <c r="I172" s="2038"/>
      <c r="J172" s="2038"/>
      <c r="K172" s="2038"/>
      <c r="L172" s="2038"/>
      <c r="M172" s="2038"/>
      <c r="N172" s="2047"/>
      <c r="O172" s="1189"/>
      <c r="P172" s="2048" t="s">
        <v>2336</v>
      </c>
      <c r="Q172" s="2049"/>
      <c r="R172" s="2049"/>
      <c r="S172" s="2049"/>
      <c r="T172" s="2049"/>
      <c r="U172" s="2049"/>
      <c r="V172" s="2049"/>
      <c r="W172" s="2049"/>
      <c r="X172" s="2049"/>
      <c r="Y172" s="2049"/>
      <c r="Z172" s="2049"/>
      <c r="AA172" s="2049"/>
      <c r="AB172" s="2049"/>
      <c r="AC172" s="2049"/>
      <c r="AD172" s="2049"/>
      <c r="AE172" s="2049"/>
      <c r="AF172" s="2049"/>
      <c r="AG172" s="2049"/>
      <c r="AH172" s="2049"/>
      <c r="AI172" s="2049"/>
      <c r="AJ172" s="2049"/>
      <c r="AK172" s="2049"/>
      <c r="AL172" s="2049"/>
      <c r="AM172" s="2049"/>
      <c r="AN172" s="2049"/>
      <c r="AO172" s="2050"/>
      <c r="AP172" s="1189"/>
      <c r="AQ172" s="1189"/>
      <c r="AR172" s="1189"/>
      <c r="AS172" s="1189"/>
      <c r="AT172" s="1189"/>
      <c r="AU172" s="1189"/>
      <c r="AV172" s="1189"/>
      <c r="AW172" s="1189"/>
      <c r="AX172" s="1189"/>
      <c r="AY172" s="1189"/>
      <c r="AZ172" s="1189"/>
      <c r="BA172" s="1189"/>
      <c r="BB172" s="1189"/>
      <c r="BC172" s="1189"/>
      <c r="BD172" s="1189"/>
      <c r="BE172" s="1193"/>
    </row>
    <row r="173" spans="1:57" ht="15.75" customHeight="1">
      <c r="A173" s="1189"/>
      <c r="B173" s="1189"/>
      <c r="C173" s="2051" t="s">
        <v>2335</v>
      </c>
      <c r="D173" s="2052"/>
      <c r="E173" s="2052"/>
      <c r="F173" s="2052"/>
      <c r="G173" s="2052"/>
      <c r="H173" s="2052"/>
      <c r="I173" s="2052" t="s">
        <v>2334</v>
      </c>
      <c r="J173" s="2052"/>
      <c r="K173" s="2052"/>
      <c r="L173" s="2052"/>
      <c r="M173" s="2052"/>
      <c r="N173" s="2053"/>
      <c r="O173" s="1189"/>
      <c r="P173" s="2054" t="s">
        <v>2333</v>
      </c>
      <c r="Q173" s="2055"/>
      <c r="R173" s="2055"/>
      <c r="S173" s="2055"/>
      <c r="T173" s="2055"/>
      <c r="U173" s="2055"/>
      <c r="V173" s="2055"/>
      <c r="W173" s="2055"/>
      <c r="X173" s="2055"/>
      <c r="Y173" s="2055"/>
      <c r="Z173" s="2055"/>
      <c r="AA173" s="2055"/>
      <c r="AB173" s="2055"/>
      <c r="AC173" s="2055"/>
      <c r="AD173" s="2055"/>
      <c r="AE173" s="2055"/>
      <c r="AF173" s="2055"/>
      <c r="AG173" s="2055"/>
      <c r="AH173" s="2055"/>
      <c r="AI173" s="2055"/>
      <c r="AJ173" s="2055"/>
      <c r="AK173" s="2055"/>
      <c r="AL173" s="2055"/>
      <c r="AM173" s="2055"/>
      <c r="AN173" s="2055"/>
      <c r="AO173" s="2056"/>
      <c r="AP173" s="1189"/>
      <c r="AQ173" s="1189"/>
      <c r="AR173" s="1189"/>
      <c r="AS173" s="1189"/>
      <c r="AT173" s="1189"/>
      <c r="AU173" s="1189"/>
      <c r="AV173" s="1189"/>
      <c r="AW173" s="1189"/>
      <c r="AX173" s="1189"/>
      <c r="AY173" s="1189"/>
      <c r="AZ173" s="1189"/>
      <c r="BA173" s="1189"/>
      <c r="BB173" s="1189"/>
      <c r="BC173" s="1189"/>
      <c r="BD173" s="1189"/>
      <c r="BE173" s="1193"/>
    </row>
    <row r="174" spans="1:57" ht="15.75" customHeight="1">
      <c r="A174" s="1189"/>
      <c r="B174" s="1189"/>
      <c r="C174" s="1999"/>
      <c r="D174" s="2000"/>
      <c r="E174" s="2000"/>
      <c r="F174" s="2000"/>
      <c r="G174" s="2000"/>
      <c r="H174" s="2000"/>
      <c r="I174" s="2060"/>
      <c r="J174" s="2060"/>
      <c r="K174" s="2060"/>
      <c r="L174" s="2060"/>
      <c r="M174" s="2060"/>
      <c r="N174" s="2061"/>
      <c r="O174" s="1189"/>
      <c r="P174" s="2054"/>
      <c r="Q174" s="2055"/>
      <c r="R174" s="2055"/>
      <c r="S174" s="2055"/>
      <c r="T174" s="2055"/>
      <c r="U174" s="2055"/>
      <c r="V174" s="2055"/>
      <c r="W174" s="2055"/>
      <c r="X174" s="2055"/>
      <c r="Y174" s="2055"/>
      <c r="Z174" s="2055"/>
      <c r="AA174" s="2055"/>
      <c r="AB174" s="2055"/>
      <c r="AC174" s="2055"/>
      <c r="AD174" s="2055"/>
      <c r="AE174" s="2055"/>
      <c r="AF174" s="2055"/>
      <c r="AG174" s="2055"/>
      <c r="AH174" s="2055"/>
      <c r="AI174" s="2055"/>
      <c r="AJ174" s="2055"/>
      <c r="AK174" s="2055"/>
      <c r="AL174" s="2055"/>
      <c r="AM174" s="2055"/>
      <c r="AN174" s="2055"/>
      <c r="AO174" s="2056"/>
      <c r="AP174" s="1189"/>
      <c r="AQ174" s="1189"/>
      <c r="AR174" s="1189"/>
      <c r="AS174" s="1189"/>
      <c r="AT174" s="1189"/>
      <c r="AU174" s="1189"/>
      <c r="AV174" s="1189"/>
      <c r="AW174" s="1189"/>
      <c r="AX174" s="1189"/>
      <c r="AY174" s="1189"/>
      <c r="AZ174" s="1189"/>
      <c r="BA174" s="1189"/>
      <c r="BB174" s="1189"/>
      <c r="BC174" s="1189"/>
      <c r="BD174" s="1189"/>
      <c r="BE174" s="1193"/>
    </row>
    <row r="175" spans="1:57" ht="15.75" customHeight="1">
      <c r="A175" s="1189"/>
      <c r="B175" s="1189"/>
      <c r="C175" s="1999"/>
      <c r="D175" s="2000"/>
      <c r="E175" s="2000"/>
      <c r="F175" s="2000"/>
      <c r="G175" s="2000"/>
      <c r="H175" s="2000"/>
      <c r="I175" s="2060"/>
      <c r="J175" s="2060"/>
      <c r="K175" s="2060"/>
      <c r="L175" s="2060"/>
      <c r="M175" s="2060"/>
      <c r="N175" s="2061"/>
      <c r="O175" s="1189"/>
      <c r="P175" s="2054"/>
      <c r="Q175" s="2055"/>
      <c r="R175" s="2055"/>
      <c r="S175" s="2055"/>
      <c r="T175" s="2055"/>
      <c r="U175" s="2055"/>
      <c r="V175" s="2055"/>
      <c r="W175" s="2055"/>
      <c r="X175" s="2055"/>
      <c r="Y175" s="2055"/>
      <c r="Z175" s="2055"/>
      <c r="AA175" s="2055"/>
      <c r="AB175" s="2055"/>
      <c r="AC175" s="2055"/>
      <c r="AD175" s="2055"/>
      <c r="AE175" s="2055"/>
      <c r="AF175" s="2055"/>
      <c r="AG175" s="2055"/>
      <c r="AH175" s="2055"/>
      <c r="AI175" s="2055"/>
      <c r="AJ175" s="2055"/>
      <c r="AK175" s="2055"/>
      <c r="AL175" s="2055"/>
      <c r="AM175" s="2055"/>
      <c r="AN175" s="2055"/>
      <c r="AO175" s="2056"/>
      <c r="AP175" s="1189"/>
      <c r="AQ175" s="1189"/>
      <c r="AR175" s="1189"/>
      <c r="AS175" s="1189"/>
      <c r="AT175" s="1189"/>
      <c r="AU175" s="1189"/>
      <c r="AV175" s="1189"/>
      <c r="AW175" s="1189"/>
      <c r="AX175" s="1189"/>
      <c r="AY175" s="1189"/>
      <c r="AZ175" s="1189"/>
      <c r="BA175" s="1189"/>
      <c r="BB175" s="1189"/>
      <c r="BC175" s="1189"/>
      <c r="BD175" s="1189"/>
      <c r="BE175" s="1193"/>
    </row>
    <row r="176" spans="1:57" ht="15.75" customHeight="1">
      <c r="A176" s="1189"/>
      <c r="B176" s="1189"/>
      <c r="C176" s="1999"/>
      <c r="D176" s="2000"/>
      <c r="E176" s="2000"/>
      <c r="F176" s="2000"/>
      <c r="G176" s="2000"/>
      <c r="H176" s="2000"/>
      <c r="I176" s="2060"/>
      <c r="J176" s="2060"/>
      <c r="K176" s="2060"/>
      <c r="L176" s="2060"/>
      <c r="M176" s="2060"/>
      <c r="N176" s="2061"/>
      <c r="O176" s="1189"/>
      <c r="P176" s="2054"/>
      <c r="Q176" s="2055"/>
      <c r="R176" s="2055"/>
      <c r="S176" s="2055"/>
      <c r="T176" s="2055"/>
      <c r="U176" s="2055"/>
      <c r="V176" s="2055"/>
      <c r="W176" s="2055"/>
      <c r="X176" s="2055"/>
      <c r="Y176" s="2055"/>
      <c r="Z176" s="2055"/>
      <c r="AA176" s="2055"/>
      <c r="AB176" s="2055"/>
      <c r="AC176" s="2055"/>
      <c r="AD176" s="2055"/>
      <c r="AE176" s="2055"/>
      <c r="AF176" s="2055"/>
      <c r="AG176" s="2055"/>
      <c r="AH176" s="2055"/>
      <c r="AI176" s="2055"/>
      <c r="AJ176" s="2055"/>
      <c r="AK176" s="2055"/>
      <c r="AL176" s="2055"/>
      <c r="AM176" s="2055"/>
      <c r="AN176" s="2055"/>
      <c r="AO176" s="2056"/>
      <c r="AP176" s="1189"/>
      <c r="AQ176" s="1189"/>
      <c r="AR176" s="1189"/>
      <c r="AS176" s="1189"/>
      <c r="AT176" s="1189"/>
      <c r="AU176" s="1189"/>
      <c r="AV176" s="1189"/>
      <c r="AW176" s="1189"/>
      <c r="AX176" s="1189"/>
      <c r="AY176" s="1189"/>
      <c r="AZ176" s="1189"/>
      <c r="BA176" s="1189"/>
      <c r="BB176" s="1189"/>
      <c r="BC176" s="1189"/>
      <c r="BD176" s="1189"/>
      <c r="BE176" s="1193"/>
    </row>
    <row r="177" spans="1:57" ht="15.75" customHeight="1">
      <c r="A177" s="1189"/>
      <c r="B177" s="1189"/>
      <c r="C177" s="1999"/>
      <c r="D177" s="2000"/>
      <c r="E177" s="2000"/>
      <c r="F177" s="2000"/>
      <c r="G177" s="2000"/>
      <c r="H177" s="2000"/>
      <c r="I177" s="2060"/>
      <c r="J177" s="2060"/>
      <c r="K177" s="2060"/>
      <c r="L177" s="2060"/>
      <c r="M177" s="2060"/>
      <c r="N177" s="2061"/>
      <c r="O177" s="1189"/>
      <c r="P177" s="2054"/>
      <c r="Q177" s="2055"/>
      <c r="R177" s="2055"/>
      <c r="S177" s="2055"/>
      <c r="T177" s="2055"/>
      <c r="U177" s="2055"/>
      <c r="V177" s="2055"/>
      <c r="W177" s="2055"/>
      <c r="X177" s="2055"/>
      <c r="Y177" s="2055"/>
      <c r="Z177" s="2055"/>
      <c r="AA177" s="2055"/>
      <c r="AB177" s="2055"/>
      <c r="AC177" s="2055"/>
      <c r="AD177" s="2055"/>
      <c r="AE177" s="2055"/>
      <c r="AF177" s="2055"/>
      <c r="AG177" s="2055"/>
      <c r="AH177" s="2055"/>
      <c r="AI177" s="2055"/>
      <c r="AJ177" s="2055"/>
      <c r="AK177" s="2055"/>
      <c r="AL177" s="2055"/>
      <c r="AM177" s="2055"/>
      <c r="AN177" s="2055"/>
      <c r="AO177" s="2056"/>
      <c r="AP177" s="1189"/>
      <c r="AQ177" s="1189"/>
      <c r="AR177" s="1189"/>
      <c r="AS177" s="1189"/>
      <c r="AT177" s="1189"/>
      <c r="AU177" s="1189"/>
      <c r="AV177" s="1189"/>
      <c r="AW177" s="1189"/>
      <c r="AX177" s="1189"/>
      <c r="AY177" s="1189"/>
      <c r="AZ177" s="1189"/>
      <c r="BA177" s="1189"/>
      <c r="BB177" s="1189"/>
      <c r="BC177" s="1189"/>
      <c r="BD177" s="1189"/>
      <c r="BE177" s="1193"/>
    </row>
    <row r="178" spans="1:57" ht="15.75" customHeight="1">
      <c r="A178" s="1189"/>
      <c r="B178" s="1189"/>
      <c r="C178" s="1999"/>
      <c r="D178" s="2000"/>
      <c r="E178" s="2000"/>
      <c r="F178" s="2000"/>
      <c r="G178" s="2000"/>
      <c r="H178" s="2000"/>
      <c r="I178" s="2060"/>
      <c r="J178" s="2060"/>
      <c r="K178" s="2060"/>
      <c r="L178" s="2060"/>
      <c r="M178" s="2060"/>
      <c r="N178" s="2061"/>
      <c r="O178" s="1189"/>
      <c r="P178" s="2054"/>
      <c r="Q178" s="2055"/>
      <c r="R178" s="2055"/>
      <c r="S178" s="2055"/>
      <c r="T178" s="2055"/>
      <c r="U178" s="2055"/>
      <c r="V178" s="2055"/>
      <c r="W178" s="2055"/>
      <c r="X178" s="2055"/>
      <c r="Y178" s="2055"/>
      <c r="Z178" s="2055"/>
      <c r="AA178" s="2055"/>
      <c r="AB178" s="2055"/>
      <c r="AC178" s="2055"/>
      <c r="AD178" s="2055"/>
      <c r="AE178" s="2055"/>
      <c r="AF178" s="2055"/>
      <c r="AG178" s="2055"/>
      <c r="AH178" s="2055"/>
      <c r="AI178" s="2055"/>
      <c r="AJ178" s="2055"/>
      <c r="AK178" s="2055"/>
      <c r="AL178" s="2055"/>
      <c r="AM178" s="2055"/>
      <c r="AN178" s="2055"/>
      <c r="AO178" s="2056"/>
      <c r="AP178" s="1189"/>
      <c r="AQ178" s="1189"/>
      <c r="AR178" s="1189"/>
      <c r="AS178" s="1189"/>
      <c r="AT178" s="1189"/>
      <c r="AU178" s="1189"/>
      <c r="AV178" s="1189"/>
      <c r="AW178" s="1189"/>
      <c r="AX178" s="1189"/>
      <c r="AY178" s="1189"/>
      <c r="AZ178" s="1189"/>
      <c r="BA178" s="1189"/>
      <c r="BB178" s="1189"/>
      <c r="BC178" s="1189"/>
      <c r="BD178" s="1189"/>
      <c r="BE178" s="1193"/>
    </row>
    <row r="179" spans="1:57" ht="15.75" customHeight="1">
      <c r="A179" s="1189"/>
      <c r="B179" s="1189"/>
      <c r="C179" s="1999"/>
      <c r="D179" s="2000"/>
      <c r="E179" s="2000"/>
      <c r="F179" s="2000"/>
      <c r="G179" s="2000"/>
      <c r="H179" s="2000"/>
      <c r="I179" s="2060"/>
      <c r="J179" s="2060"/>
      <c r="K179" s="2060"/>
      <c r="L179" s="2060"/>
      <c r="M179" s="2060"/>
      <c r="N179" s="2061"/>
      <c r="O179" s="1189"/>
      <c r="P179" s="2054"/>
      <c r="Q179" s="2055"/>
      <c r="R179" s="2055"/>
      <c r="S179" s="2055"/>
      <c r="T179" s="2055"/>
      <c r="U179" s="2055"/>
      <c r="V179" s="2055"/>
      <c r="W179" s="2055"/>
      <c r="X179" s="2055"/>
      <c r="Y179" s="2055"/>
      <c r="Z179" s="2055"/>
      <c r="AA179" s="2055"/>
      <c r="AB179" s="2055"/>
      <c r="AC179" s="2055"/>
      <c r="AD179" s="2055"/>
      <c r="AE179" s="2055"/>
      <c r="AF179" s="2055"/>
      <c r="AG179" s="2055"/>
      <c r="AH179" s="2055"/>
      <c r="AI179" s="2055"/>
      <c r="AJ179" s="2055"/>
      <c r="AK179" s="2055"/>
      <c r="AL179" s="2055"/>
      <c r="AM179" s="2055"/>
      <c r="AN179" s="2055"/>
      <c r="AO179" s="2056"/>
      <c r="AP179" s="1189"/>
      <c r="AQ179" s="1189"/>
      <c r="AR179" s="1189"/>
      <c r="AS179" s="1189"/>
      <c r="AT179" s="1189"/>
      <c r="AU179" s="1189"/>
      <c r="AV179" s="1189"/>
      <c r="AW179" s="1189"/>
      <c r="AX179" s="1189"/>
      <c r="AY179" s="1189"/>
      <c r="AZ179" s="1189"/>
      <c r="BA179" s="1189"/>
      <c r="BB179" s="1189"/>
      <c r="BC179" s="1189"/>
      <c r="BD179" s="1189"/>
      <c r="BE179" s="1193"/>
    </row>
    <row r="180" spans="1:57" ht="15.75" customHeight="1" thickBot="1">
      <c r="A180" s="1189"/>
      <c r="B180" s="1189"/>
      <c r="C180" s="2062"/>
      <c r="D180" s="2063"/>
      <c r="E180" s="2063"/>
      <c r="F180" s="2063"/>
      <c r="G180" s="2063"/>
      <c r="H180" s="2063"/>
      <c r="I180" s="2064"/>
      <c r="J180" s="2064"/>
      <c r="K180" s="2064"/>
      <c r="L180" s="2064"/>
      <c r="M180" s="2064"/>
      <c r="N180" s="2065"/>
      <c r="O180" s="1189"/>
      <c r="P180" s="2057"/>
      <c r="Q180" s="2058"/>
      <c r="R180" s="2058"/>
      <c r="S180" s="2058"/>
      <c r="T180" s="2058"/>
      <c r="U180" s="2058"/>
      <c r="V180" s="2058"/>
      <c r="W180" s="2058"/>
      <c r="X180" s="2058"/>
      <c r="Y180" s="2058"/>
      <c r="Z180" s="2058"/>
      <c r="AA180" s="2058"/>
      <c r="AB180" s="2058"/>
      <c r="AC180" s="2058"/>
      <c r="AD180" s="2058"/>
      <c r="AE180" s="2058"/>
      <c r="AF180" s="2058"/>
      <c r="AG180" s="2058"/>
      <c r="AH180" s="2058"/>
      <c r="AI180" s="2058"/>
      <c r="AJ180" s="2058"/>
      <c r="AK180" s="2058"/>
      <c r="AL180" s="2058"/>
      <c r="AM180" s="2058"/>
      <c r="AN180" s="2058"/>
      <c r="AO180" s="2059"/>
      <c r="AP180" s="1189"/>
      <c r="AQ180" s="1189"/>
      <c r="AR180" s="1189"/>
      <c r="AS180" s="1189"/>
      <c r="AT180" s="1189"/>
      <c r="AU180" s="1189"/>
      <c r="AV180" s="1189"/>
      <c r="AW180" s="1189"/>
      <c r="AX180" s="1189"/>
      <c r="AY180" s="1189"/>
      <c r="AZ180" s="1189"/>
      <c r="BA180" s="1189"/>
      <c r="BB180" s="1189"/>
      <c r="BC180" s="1189"/>
      <c r="BD180" s="1189"/>
      <c r="BE180" s="1193"/>
    </row>
    <row r="181" spans="1:57" ht="15.75" customHeight="1" thickBot="1">
      <c r="A181" s="1189"/>
      <c r="B181" s="1189"/>
      <c r="C181" s="1189"/>
      <c r="D181" s="1189"/>
      <c r="E181" s="1189"/>
      <c r="F181" s="1189"/>
      <c r="G181" s="1189"/>
      <c r="H181" s="1189"/>
      <c r="I181" s="1189"/>
      <c r="J181" s="1189"/>
      <c r="K181" s="1189"/>
      <c r="L181" s="1189"/>
      <c r="M181" s="1189"/>
      <c r="N181" s="1189"/>
      <c r="O181" s="1189"/>
      <c r="P181" s="1189"/>
      <c r="Q181" s="1189"/>
      <c r="R181" s="1189"/>
      <c r="S181" s="1189"/>
      <c r="T181" s="1189"/>
      <c r="U181" s="1189"/>
      <c r="V181" s="1189"/>
      <c r="W181" s="1189"/>
      <c r="X181" s="1189"/>
      <c r="Y181" s="1189"/>
      <c r="Z181" s="1189"/>
      <c r="AA181" s="1189"/>
      <c r="AB181" s="1189"/>
      <c r="AC181" s="1189"/>
      <c r="AD181" s="1189"/>
      <c r="AE181" s="1189"/>
      <c r="AF181" s="1189"/>
      <c r="AG181" s="1189"/>
      <c r="AH181" s="1189"/>
      <c r="AI181" s="1189"/>
      <c r="AJ181" s="1189"/>
      <c r="AK181" s="1189"/>
      <c r="AL181" s="1189"/>
      <c r="AM181" s="1189"/>
      <c r="AN181" s="1189"/>
      <c r="AO181" s="1189"/>
      <c r="AP181" s="1189"/>
      <c r="AQ181" s="1189"/>
      <c r="AR181" s="1189"/>
      <c r="AS181" s="1189"/>
      <c r="AT181" s="1189"/>
      <c r="AU181" s="1189"/>
      <c r="AV181" s="1189"/>
      <c r="AW181" s="1189"/>
      <c r="AX181" s="1189"/>
      <c r="AY181" s="1189"/>
      <c r="AZ181" s="1189"/>
      <c r="BA181" s="1189"/>
      <c r="BB181" s="1189"/>
      <c r="BC181" s="1189"/>
      <c r="BD181" s="1189"/>
      <c r="BE181" s="1193"/>
    </row>
    <row r="182" spans="1:57" ht="15.75" customHeight="1">
      <c r="A182" s="1189"/>
      <c r="B182" s="1189"/>
      <c r="C182" s="2028" t="s">
        <v>2332</v>
      </c>
      <c r="D182" s="2029"/>
      <c r="E182" s="2029"/>
      <c r="F182" s="2029"/>
      <c r="G182" s="2029"/>
      <c r="H182" s="2029"/>
      <c r="I182" s="2029"/>
      <c r="J182" s="2029"/>
      <c r="K182" s="2029"/>
      <c r="L182" s="2029"/>
      <c r="M182" s="2029"/>
      <c r="N182" s="2029"/>
      <c r="O182" s="2029"/>
      <c r="P182" s="2029"/>
      <c r="Q182" s="2029"/>
      <c r="R182" s="2029"/>
      <c r="S182" s="2029"/>
      <c r="T182" s="2029"/>
      <c r="U182" s="2029"/>
      <c r="V182" s="2029"/>
      <c r="W182" s="2029"/>
      <c r="X182" s="2029"/>
      <c r="Y182" s="2029"/>
      <c r="Z182" s="2029"/>
      <c r="AA182" s="2029"/>
      <c r="AB182" s="2029"/>
      <c r="AC182" s="2029"/>
      <c r="AD182" s="2029"/>
      <c r="AE182" s="2030"/>
      <c r="AF182" s="1189"/>
      <c r="AG182" s="1189"/>
      <c r="AH182" s="1913"/>
      <c r="AI182" s="1913"/>
      <c r="AJ182" s="1913"/>
      <c r="AK182" s="1913"/>
      <c r="AL182" s="1913"/>
      <c r="AM182" s="1913"/>
      <c r="AN182" s="1913"/>
      <c r="AO182" s="1913"/>
      <c r="AP182" s="1913"/>
      <c r="AQ182" s="1913"/>
      <c r="AR182" s="1913"/>
      <c r="AS182" s="1913"/>
      <c r="AT182" s="1913"/>
      <c r="AU182" s="1913"/>
      <c r="AV182" s="1913"/>
      <c r="AW182" s="1913"/>
      <c r="AX182" s="1913"/>
      <c r="AY182" s="1913"/>
      <c r="AZ182" s="1913"/>
      <c r="BA182" s="1913"/>
      <c r="BB182" s="1913"/>
      <c r="BC182" s="1913"/>
      <c r="BD182" s="1913"/>
      <c r="BE182" s="1913"/>
    </row>
    <row r="183" spans="1:57" ht="15.75" customHeight="1" thickBot="1">
      <c r="A183" s="1189"/>
      <c r="B183" s="1189"/>
      <c r="C183" s="2031"/>
      <c r="D183" s="2032"/>
      <c r="E183" s="2032"/>
      <c r="F183" s="2032"/>
      <c r="G183" s="2032"/>
      <c r="H183" s="2032"/>
      <c r="I183" s="2032"/>
      <c r="J183" s="2032"/>
      <c r="K183" s="2032"/>
      <c r="L183" s="2032"/>
      <c r="M183" s="2032"/>
      <c r="N183" s="2032"/>
      <c r="O183" s="2032"/>
      <c r="P183" s="2032"/>
      <c r="Q183" s="2032"/>
      <c r="R183" s="2032"/>
      <c r="S183" s="2032"/>
      <c r="T183" s="2032"/>
      <c r="U183" s="2032"/>
      <c r="V183" s="2032"/>
      <c r="W183" s="2032"/>
      <c r="X183" s="2032"/>
      <c r="Y183" s="2032"/>
      <c r="Z183" s="2032"/>
      <c r="AA183" s="2032"/>
      <c r="AB183" s="2032"/>
      <c r="AC183" s="2032"/>
      <c r="AD183" s="2032"/>
      <c r="AE183" s="2033"/>
      <c r="AF183" s="1189"/>
      <c r="AG183" s="1189"/>
      <c r="AH183" s="1913"/>
      <c r="AI183" s="1913"/>
      <c r="AJ183" s="1913"/>
      <c r="AK183" s="1913"/>
      <c r="AL183" s="1913"/>
      <c r="AM183" s="1913"/>
      <c r="AN183" s="1913"/>
      <c r="AO183" s="1913"/>
      <c r="AP183" s="1913"/>
      <c r="AQ183" s="1913"/>
      <c r="AR183" s="1913"/>
      <c r="AS183" s="1913"/>
      <c r="AT183" s="1913"/>
      <c r="AU183" s="1913"/>
      <c r="AV183" s="1913"/>
      <c r="AW183" s="1913"/>
      <c r="AX183" s="1913"/>
      <c r="AY183" s="1913"/>
      <c r="AZ183" s="1913"/>
      <c r="BA183" s="1913"/>
      <c r="BB183" s="1913"/>
      <c r="BC183" s="1913"/>
      <c r="BD183" s="1913"/>
      <c r="BE183" s="1913"/>
    </row>
    <row r="184" spans="1:57" ht="15.75" customHeight="1">
      <c r="A184" s="1189"/>
      <c r="B184" s="1189"/>
      <c r="C184" s="2037" t="s">
        <v>2330</v>
      </c>
      <c r="D184" s="2038"/>
      <c r="E184" s="2038"/>
      <c r="F184" s="2038"/>
      <c r="G184" s="2038"/>
      <c r="H184" s="2038"/>
      <c r="I184" s="2038"/>
      <c r="J184" s="2038"/>
      <c r="K184" s="2038"/>
      <c r="L184" s="2038"/>
      <c r="M184" s="2038"/>
      <c r="N184" s="2038" t="s">
        <v>2331</v>
      </c>
      <c r="O184" s="2038"/>
      <c r="P184" s="2038"/>
      <c r="Q184" s="2038"/>
      <c r="R184" s="2038"/>
      <c r="S184" s="2038"/>
      <c r="T184" s="2038"/>
      <c r="U184" s="2039" t="s">
        <v>2330</v>
      </c>
      <c r="V184" s="2039"/>
      <c r="W184" s="2039"/>
      <c r="X184" s="2039"/>
      <c r="Y184" s="2039"/>
      <c r="Z184" s="2039"/>
      <c r="AA184" s="2039"/>
      <c r="AB184" s="2039"/>
      <c r="AC184" s="2039"/>
      <c r="AD184" s="2039"/>
      <c r="AE184" s="2040"/>
      <c r="AF184" s="1189"/>
      <c r="AG184" s="1189"/>
      <c r="AH184" s="1913"/>
      <c r="AI184" s="1913"/>
      <c r="AJ184" s="1913"/>
      <c r="AK184" s="1913"/>
      <c r="AL184" s="1913"/>
      <c r="AM184" s="1913"/>
      <c r="AN184" s="1913"/>
      <c r="AO184" s="1913"/>
      <c r="AP184" s="1913"/>
      <c r="AQ184" s="1913"/>
      <c r="AR184" s="1913"/>
      <c r="AS184" s="1913"/>
      <c r="AT184" s="1913"/>
      <c r="AU184" s="1913"/>
      <c r="AV184" s="1913"/>
      <c r="AW184" s="1913"/>
      <c r="AX184" s="1913"/>
      <c r="AY184" s="1913"/>
      <c r="AZ184" s="1913"/>
      <c r="BA184" s="1913"/>
      <c r="BB184" s="1913"/>
      <c r="BC184" s="1913"/>
      <c r="BD184" s="1913"/>
      <c r="BE184" s="1913"/>
    </row>
    <row r="185" spans="1:57" ht="15.75" customHeight="1">
      <c r="A185" s="1189"/>
      <c r="B185" s="1189"/>
      <c r="C185" s="2016" t="s">
        <v>2329</v>
      </c>
      <c r="D185" s="2017"/>
      <c r="E185" s="2017"/>
      <c r="F185" s="2017"/>
      <c r="G185" s="2017"/>
      <c r="H185" s="2017"/>
      <c r="I185" s="2017"/>
      <c r="J185" s="2017"/>
      <c r="K185" s="2017"/>
      <c r="L185" s="2017"/>
      <c r="M185" s="2017"/>
      <c r="N185" s="2027">
        <f>'Sources and Uses Budget'!B105</f>
        <v>85732835</v>
      </c>
      <c r="O185" s="2027"/>
      <c r="P185" s="2027"/>
      <c r="Q185" s="2027"/>
      <c r="R185" s="2027"/>
      <c r="S185" s="2027"/>
      <c r="T185" s="2027"/>
      <c r="U185" s="2041"/>
      <c r="V185" s="2041"/>
      <c r="W185" s="2041"/>
      <c r="X185" s="2041"/>
      <c r="Y185" s="2041"/>
      <c r="Z185" s="2041"/>
      <c r="AA185" s="2041"/>
      <c r="AB185" s="2041"/>
      <c r="AC185" s="2041"/>
      <c r="AD185" s="2041"/>
      <c r="AE185" s="2042"/>
      <c r="AF185" s="1189"/>
      <c r="AG185" s="1189"/>
      <c r="AH185" s="1913"/>
      <c r="AI185" s="1913"/>
      <c r="AJ185" s="1913"/>
      <c r="AK185" s="1913"/>
      <c r="AL185" s="1913"/>
      <c r="AM185" s="1913"/>
      <c r="AN185" s="1913"/>
      <c r="AO185" s="1913"/>
      <c r="AP185" s="1913"/>
      <c r="AQ185" s="1913"/>
      <c r="AR185" s="1913"/>
      <c r="AS185" s="1913"/>
      <c r="AT185" s="1913"/>
      <c r="AU185" s="1913"/>
      <c r="AV185" s="1913"/>
      <c r="AW185" s="1913"/>
      <c r="AX185" s="1913"/>
      <c r="AY185" s="1913"/>
      <c r="AZ185" s="1913"/>
      <c r="BA185" s="1913"/>
      <c r="BB185" s="1913"/>
      <c r="BC185" s="1913"/>
      <c r="BD185" s="1913"/>
      <c r="BE185" s="1913"/>
    </row>
    <row r="186" spans="1:57" ht="15.75" customHeight="1">
      <c r="A186" s="1189"/>
      <c r="B186" s="1189"/>
      <c r="C186" s="2016" t="s">
        <v>2328</v>
      </c>
      <c r="D186" s="2017"/>
      <c r="E186" s="2017"/>
      <c r="F186" s="2017"/>
      <c r="G186" s="2017"/>
      <c r="H186" s="2017"/>
      <c r="I186" s="2017"/>
      <c r="J186" s="2017"/>
      <c r="K186" s="2017"/>
      <c r="L186" s="2017"/>
      <c r="M186" s="2017"/>
      <c r="N186" s="2027">
        <f>N185/J29</f>
        <v>571552.23333333328</v>
      </c>
      <c r="O186" s="2027"/>
      <c r="P186" s="2027"/>
      <c r="Q186" s="2027"/>
      <c r="R186" s="2027"/>
      <c r="S186" s="2027"/>
      <c r="T186" s="2027"/>
      <c r="U186" s="1227"/>
      <c r="V186" s="1227"/>
      <c r="W186" s="1227"/>
      <c r="X186" s="1227"/>
      <c r="Y186" s="1227"/>
      <c r="Z186" s="1227"/>
      <c r="AA186" s="1227"/>
      <c r="AB186" s="1227"/>
      <c r="AC186" s="1227"/>
      <c r="AD186" s="1227"/>
      <c r="AE186" s="1228"/>
      <c r="AF186" s="1189"/>
      <c r="AG186" s="1189"/>
      <c r="AH186" s="1913"/>
      <c r="AI186" s="1913"/>
      <c r="AJ186" s="1913"/>
      <c r="AK186" s="1913"/>
      <c r="AL186" s="1913"/>
      <c r="AM186" s="1913"/>
      <c r="AN186" s="1913"/>
      <c r="AO186" s="1913"/>
      <c r="AP186" s="1913"/>
      <c r="AQ186" s="1913"/>
      <c r="AR186" s="1913"/>
      <c r="AS186" s="1913"/>
      <c r="AT186" s="1913"/>
      <c r="AU186" s="1913"/>
      <c r="AV186" s="1913"/>
      <c r="AW186" s="1913"/>
      <c r="AX186" s="1913"/>
      <c r="AY186" s="1913"/>
      <c r="AZ186" s="1913"/>
      <c r="BA186" s="1913"/>
      <c r="BB186" s="1913"/>
      <c r="BC186" s="1913"/>
      <c r="BD186" s="1913"/>
      <c r="BE186" s="1913"/>
    </row>
    <row r="187" spans="1:57" ht="15.75" customHeight="1">
      <c r="A187" s="1189"/>
      <c r="B187" s="1189"/>
      <c r="C187" s="2043" t="s">
        <v>2327</v>
      </c>
      <c r="D187" s="2044"/>
      <c r="E187" s="2044"/>
      <c r="F187" s="2044"/>
      <c r="G187" s="2044"/>
      <c r="H187" s="2044"/>
      <c r="I187" s="2044"/>
      <c r="J187" s="2044"/>
      <c r="K187" s="2044"/>
      <c r="L187" s="2044"/>
      <c r="M187" s="2044"/>
      <c r="N187" s="2045">
        <v>0</v>
      </c>
      <c r="O187" s="2045"/>
      <c r="P187" s="2045"/>
      <c r="Q187" s="2045"/>
      <c r="R187" s="2045"/>
      <c r="S187" s="2045"/>
      <c r="T187" s="2045"/>
      <c r="U187" s="2003"/>
      <c r="V187" s="2003"/>
      <c r="W187" s="2003"/>
      <c r="X187" s="2003"/>
      <c r="Y187" s="2003"/>
      <c r="Z187" s="2003"/>
      <c r="AA187" s="2003"/>
      <c r="AB187" s="2003"/>
      <c r="AC187" s="2003"/>
      <c r="AD187" s="2003"/>
      <c r="AE187" s="2004"/>
      <c r="AF187" s="1189"/>
      <c r="AG187" s="1189"/>
      <c r="AH187" s="1913"/>
      <c r="AI187" s="1913"/>
      <c r="AJ187" s="1913"/>
      <c r="AK187" s="1913"/>
      <c r="AL187" s="1913"/>
      <c r="AM187" s="1913"/>
      <c r="AN187" s="1913"/>
      <c r="AO187" s="1913"/>
      <c r="AP187" s="1913"/>
      <c r="AQ187" s="1913"/>
      <c r="AR187" s="1913"/>
      <c r="AS187" s="1913"/>
      <c r="AT187" s="1913"/>
      <c r="AU187" s="1913"/>
      <c r="AV187" s="1913"/>
      <c r="AW187" s="1913"/>
      <c r="AX187" s="1913"/>
      <c r="AY187" s="1913"/>
      <c r="AZ187" s="1913"/>
      <c r="BA187" s="1913"/>
      <c r="BB187" s="1913"/>
      <c r="BC187" s="1913"/>
      <c r="BD187" s="1913"/>
      <c r="BE187" s="1913"/>
    </row>
    <row r="188" spans="1:57" ht="15.75" customHeight="1" thickBot="1">
      <c r="A188" s="1189"/>
      <c r="B188" s="1189"/>
      <c r="C188" s="2016" t="s">
        <v>2326</v>
      </c>
      <c r="D188" s="2017"/>
      <c r="E188" s="2017"/>
      <c r="F188" s="2017"/>
      <c r="G188" s="2017"/>
      <c r="H188" s="2017"/>
      <c r="I188" s="2017"/>
      <c r="J188" s="2017"/>
      <c r="K188" s="2017"/>
      <c r="L188" s="2017"/>
      <c r="M188" s="2017"/>
      <c r="N188" s="2046">
        <f>SUM('Sources and Uses Budget'!B85:B86)</f>
        <v>966613</v>
      </c>
      <c r="O188" s="2046"/>
      <c r="P188" s="2046"/>
      <c r="Q188" s="2046"/>
      <c r="R188" s="2046"/>
      <c r="S188" s="2046"/>
      <c r="T188" s="2046"/>
      <c r="U188" s="2003"/>
      <c r="V188" s="2003"/>
      <c r="W188" s="2003"/>
      <c r="X188" s="2003"/>
      <c r="Y188" s="2003"/>
      <c r="Z188" s="2003"/>
      <c r="AA188" s="2003"/>
      <c r="AB188" s="2003"/>
      <c r="AC188" s="2003"/>
      <c r="AD188" s="2003"/>
      <c r="AE188" s="2004"/>
      <c r="AF188" s="1189"/>
      <c r="AG188" s="1189"/>
      <c r="AH188" s="1913"/>
      <c r="AI188" s="1913"/>
      <c r="AJ188" s="1913"/>
      <c r="AK188" s="1913"/>
      <c r="AL188" s="1913"/>
      <c r="AM188" s="1913"/>
      <c r="AN188" s="1913"/>
      <c r="AO188" s="1913"/>
      <c r="AP188" s="1913"/>
      <c r="AQ188" s="1913"/>
      <c r="AR188" s="1913"/>
      <c r="AS188" s="1913"/>
      <c r="AT188" s="1913"/>
      <c r="AU188" s="1913"/>
      <c r="AV188" s="1913"/>
      <c r="AW188" s="1913"/>
      <c r="AX188" s="1913"/>
      <c r="AY188" s="1913"/>
      <c r="AZ188" s="1913"/>
      <c r="BA188" s="1913"/>
      <c r="BB188" s="1913"/>
      <c r="BC188" s="1913"/>
      <c r="BD188" s="1913"/>
      <c r="BE188" s="1913"/>
    </row>
    <row r="189" spans="1:57" ht="15.75" customHeight="1" thickBot="1">
      <c r="A189" s="1189"/>
      <c r="B189" s="1189"/>
      <c r="C189" s="2016" t="s">
        <v>2325</v>
      </c>
      <c r="D189" s="2017"/>
      <c r="E189" s="2017"/>
      <c r="F189" s="2017"/>
      <c r="G189" s="2017"/>
      <c r="H189" s="2017"/>
      <c r="I189" s="2017"/>
      <c r="J189" s="2017"/>
      <c r="K189" s="2017"/>
      <c r="L189" s="2017"/>
      <c r="M189" s="2017"/>
      <c r="N189" s="2046">
        <f>'Sources and Uses Budget'!B8</f>
        <v>100</v>
      </c>
      <c r="O189" s="2046"/>
      <c r="P189" s="2046"/>
      <c r="Q189" s="2046"/>
      <c r="R189" s="2046"/>
      <c r="S189" s="2046"/>
      <c r="T189" s="2046"/>
      <c r="U189" s="2003"/>
      <c r="V189" s="2003"/>
      <c r="W189" s="2003"/>
      <c r="X189" s="2003"/>
      <c r="Y189" s="2003"/>
      <c r="Z189" s="2003"/>
      <c r="AA189" s="2003"/>
      <c r="AB189" s="2003"/>
      <c r="AC189" s="2003"/>
      <c r="AD189" s="2003"/>
      <c r="AE189" s="2004"/>
      <c r="AF189" s="1189"/>
      <c r="AG189" s="1189"/>
      <c r="AH189" s="2013" t="s">
        <v>2323</v>
      </c>
      <c r="AI189" s="2014"/>
      <c r="AJ189" s="2014"/>
      <c r="AK189" s="2014"/>
      <c r="AL189" s="2014"/>
      <c r="AM189" s="2014"/>
      <c r="AN189" s="2014"/>
      <c r="AO189" s="2014"/>
      <c r="AP189" s="2014"/>
      <c r="AQ189" s="2014"/>
      <c r="AR189" s="2014"/>
      <c r="AS189" s="2014"/>
      <c r="AT189" s="2014"/>
      <c r="AU189" s="2014"/>
      <c r="AV189" s="2014"/>
      <c r="AW189" s="2014"/>
      <c r="AX189" s="2014"/>
      <c r="AY189" s="2014"/>
      <c r="AZ189" s="2014"/>
      <c r="BA189" s="2014"/>
      <c r="BB189" s="2014"/>
      <c r="BC189" s="2014"/>
      <c r="BD189" s="2014"/>
      <c r="BE189" s="2015"/>
    </row>
    <row r="190" spans="1:57" ht="15.75" customHeight="1">
      <c r="A190" s="1189"/>
      <c r="B190" s="1189"/>
      <c r="C190" s="2016" t="s">
        <v>2324</v>
      </c>
      <c r="D190" s="2017"/>
      <c r="E190" s="2017"/>
      <c r="F190" s="2017"/>
      <c r="G190" s="2017"/>
      <c r="H190" s="2017"/>
      <c r="I190" s="2017"/>
      <c r="J190" s="2017"/>
      <c r="K190" s="2017"/>
      <c r="L190" s="2017"/>
      <c r="M190" s="2017"/>
      <c r="N190" s="2002">
        <v>0</v>
      </c>
      <c r="O190" s="2002"/>
      <c r="P190" s="2002"/>
      <c r="Q190" s="2002"/>
      <c r="R190" s="2002"/>
      <c r="S190" s="2002"/>
      <c r="T190" s="2002"/>
      <c r="U190" s="2003"/>
      <c r="V190" s="2003"/>
      <c r="W190" s="2003"/>
      <c r="X190" s="2003"/>
      <c r="Y190" s="2003"/>
      <c r="Z190" s="2003"/>
      <c r="AA190" s="2003"/>
      <c r="AB190" s="2003"/>
      <c r="AC190" s="2003"/>
      <c r="AD190" s="2003"/>
      <c r="AE190" s="2004"/>
      <c r="AF190" s="1189"/>
      <c r="AG190" s="1189"/>
      <c r="AH190" s="2018" t="s">
        <v>2323</v>
      </c>
      <c r="AI190" s="2019"/>
      <c r="AJ190" s="2019"/>
      <c r="AK190" s="2019"/>
      <c r="AL190" s="2019"/>
      <c r="AM190" s="2019"/>
      <c r="AN190" s="2019"/>
      <c r="AO190" s="2019"/>
      <c r="AP190" s="2019"/>
      <c r="AQ190" s="2019"/>
      <c r="AR190" s="2019"/>
      <c r="AS190" s="2019"/>
      <c r="AT190" s="2019"/>
      <c r="AU190" s="2020">
        <v>0</v>
      </c>
      <c r="AV190" s="2020"/>
      <c r="AW190" s="2020"/>
      <c r="AX190" s="2020"/>
      <c r="AY190" s="2020"/>
      <c r="AZ190" s="2020"/>
      <c r="BA190" s="2020"/>
      <c r="BB190" s="2020"/>
      <c r="BC190" s="2021"/>
      <c r="BD190" s="2022"/>
      <c r="BE190" s="2023"/>
    </row>
    <row r="191" spans="1:57" ht="15.75" customHeight="1">
      <c r="A191" s="1189"/>
      <c r="B191" s="1189"/>
      <c r="C191" s="2016" t="s">
        <v>2322</v>
      </c>
      <c r="D191" s="2017"/>
      <c r="E191" s="2017"/>
      <c r="F191" s="2017"/>
      <c r="G191" s="2017"/>
      <c r="H191" s="2017"/>
      <c r="I191" s="2017"/>
      <c r="J191" s="2017"/>
      <c r="K191" s="2017"/>
      <c r="L191" s="2017"/>
      <c r="M191" s="2017"/>
      <c r="N191" s="2002">
        <v>0</v>
      </c>
      <c r="O191" s="2002"/>
      <c r="P191" s="2002"/>
      <c r="Q191" s="2002"/>
      <c r="R191" s="2002"/>
      <c r="S191" s="2002"/>
      <c r="T191" s="2002"/>
      <c r="U191" s="2003"/>
      <c r="V191" s="2003"/>
      <c r="W191" s="2003"/>
      <c r="X191" s="2003"/>
      <c r="Y191" s="2003"/>
      <c r="Z191" s="2003"/>
      <c r="AA191" s="2003"/>
      <c r="AB191" s="2003"/>
      <c r="AC191" s="2003"/>
      <c r="AD191" s="2003"/>
      <c r="AE191" s="2004"/>
      <c r="AF191" s="1189"/>
      <c r="AG191" s="1189"/>
      <c r="AH191" s="2034" t="s">
        <v>2321</v>
      </c>
      <c r="AI191" s="2035"/>
      <c r="AJ191" s="2035"/>
      <c r="AK191" s="2035"/>
      <c r="AL191" s="2035"/>
      <c r="AM191" s="2035"/>
      <c r="AN191" s="2035"/>
      <c r="AO191" s="2035"/>
      <c r="AP191" s="2035"/>
      <c r="AQ191" s="2035"/>
      <c r="AR191" s="2035"/>
      <c r="AS191" s="2035"/>
      <c r="AT191" s="2035"/>
      <c r="AU191" s="2036"/>
      <c r="AV191" s="2036"/>
      <c r="AW191" s="2036"/>
      <c r="AX191" s="2036"/>
      <c r="AY191" s="2036"/>
      <c r="AZ191" s="2036"/>
      <c r="BA191" s="2036"/>
      <c r="BB191" s="2036"/>
      <c r="BC191" s="2024"/>
      <c r="BD191" s="2025"/>
      <c r="BE191" s="2026"/>
    </row>
    <row r="192" spans="1:57" ht="15.75" customHeight="1">
      <c r="A192" s="1189"/>
      <c r="B192" s="1189"/>
      <c r="C192" s="2008" t="s">
        <v>300</v>
      </c>
      <c r="D192" s="2009"/>
      <c r="E192" s="2001" t="s">
        <v>2319</v>
      </c>
      <c r="F192" s="2001"/>
      <c r="G192" s="2001"/>
      <c r="H192" s="2001"/>
      <c r="I192" s="2001"/>
      <c r="J192" s="2001"/>
      <c r="K192" s="2001"/>
      <c r="L192" s="2001"/>
      <c r="M192" s="2001"/>
      <c r="N192" s="2002">
        <v>0</v>
      </c>
      <c r="O192" s="2002"/>
      <c r="P192" s="2002"/>
      <c r="Q192" s="2002"/>
      <c r="R192" s="2002"/>
      <c r="S192" s="2002"/>
      <c r="T192" s="2002"/>
      <c r="U192" s="2003"/>
      <c r="V192" s="2003"/>
      <c r="W192" s="2003"/>
      <c r="X192" s="2003"/>
      <c r="Y192" s="2003"/>
      <c r="Z192" s="2003"/>
      <c r="AA192" s="2003"/>
      <c r="AB192" s="2003"/>
      <c r="AC192" s="2003"/>
      <c r="AD192" s="2003"/>
      <c r="AE192" s="2004"/>
      <c r="AF192" s="1189"/>
      <c r="AG192" s="1189"/>
      <c r="AH192" s="2010" t="s">
        <v>2320</v>
      </c>
      <c r="AI192" s="2011"/>
      <c r="AJ192" s="2011"/>
      <c r="AK192" s="2011"/>
      <c r="AL192" s="2011"/>
      <c r="AM192" s="2011"/>
      <c r="AN192" s="2011"/>
      <c r="AO192" s="2011"/>
      <c r="AP192" s="2011"/>
      <c r="AQ192" s="2011"/>
      <c r="AR192" s="2011"/>
      <c r="AS192" s="2011"/>
      <c r="AT192" s="2011"/>
      <c r="AU192" s="2012">
        <f>SUM(AU190:BB191)</f>
        <v>0</v>
      </c>
      <c r="AV192" s="2012"/>
      <c r="AW192" s="2012"/>
      <c r="AX192" s="2012"/>
      <c r="AY192" s="2012"/>
      <c r="AZ192" s="2012"/>
      <c r="BA192" s="2012"/>
      <c r="BB192" s="2012"/>
      <c r="BC192" s="2024"/>
      <c r="BD192" s="2025"/>
      <c r="BE192" s="2026"/>
    </row>
    <row r="193" spans="1:57" ht="15.75" customHeight="1" thickBot="1">
      <c r="A193" s="1189"/>
      <c r="B193" s="1189"/>
      <c r="C193" s="1999" t="s">
        <v>300</v>
      </c>
      <c r="D193" s="2000"/>
      <c r="E193" s="2001" t="s">
        <v>2319</v>
      </c>
      <c r="F193" s="2001"/>
      <c r="G193" s="2001"/>
      <c r="H193" s="2001"/>
      <c r="I193" s="2001"/>
      <c r="J193" s="2001"/>
      <c r="K193" s="2001"/>
      <c r="L193" s="2001"/>
      <c r="M193" s="2001"/>
      <c r="N193" s="2002">
        <v>0</v>
      </c>
      <c r="O193" s="2002"/>
      <c r="P193" s="2002"/>
      <c r="Q193" s="2002"/>
      <c r="R193" s="2002"/>
      <c r="S193" s="2002"/>
      <c r="T193" s="2002"/>
      <c r="U193" s="2003"/>
      <c r="V193" s="2003"/>
      <c r="W193" s="2003"/>
      <c r="X193" s="2003"/>
      <c r="Y193" s="2003"/>
      <c r="Z193" s="2003"/>
      <c r="AA193" s="2003"/>
      <c r="AB193" s="2003"/>
      <c r="AC193" s="2003"/>
      <c r="AD193" s="2003"/>
      <c r="AE193" s="2004"/>
      <c r="AF193" s="1189"/>
      <c r="AG193" s="1189"/>
      <c r="AH193" s="1229"/>
      <c r="AI193" s="1230"/>
      <c r="AJ193" s="1230"/>
      <c r="AK193" s="1230"/>
      <c r="AL193" s="1230"/>
      <c r="AM193" s="1230"/>
      <c r="AN193" s="1230"/>
      <c r="AO193" s="1230"/>
      <c r="AP193" s="1230"/>
      <c r="AQ193" s="1230"/>
      <c r="AR193" s="1230"/>
      <c r="AS193" s="1230"/>
      <c r="AT193" s="1230"/>
      <c r="AU193" s="1230"/>
      <c r="AV193" s="1230"/>
      <c r="AW193" s="1230"/>
      <c r="AX193" s="1230"/>
      <c r="AY193" s="1230"/>
      <c r="AZ193" s="1230"/>
      <c r="BA193" s="1230"/>
      <c r="BB193" s="1230"/>
      <c r="BC193" s="2005"/>
      <c r="BD193" s="2006"/>
      <c r="BE193" s="2007"/>
    </row>
    <row r="194" spans="1:57" ht="15.75" customHeight="1" thickBot="1">
      <c r="A194" s="1189"/>
      <c r="B194" s="1189"/>
      <c r="C194" s="1987" t="s">
        <v>300</v>
      </c>
      <c r="D194" s="1988"/>
      <c r="E194" s="1989" t="s">
        <v>2319</v>
      </c>
      <c r="F194" s="1989"/>
      <c r="G194" s="1989"/>
      <c r="H194" s="1989"/>
      <c r="I194" s="1989"/>
      <c r="J194" s="1989"/>
      <c r="K194" s="1989"/>
      <c r="L194" s="1989"/>
      <c r="M194" s="1990"/>
      <c r="N194" s="1991">
        <v>0</v>
      </c>
      <c r="O194" s="1991"/>
      <c r="P194" s="1991"/>
      <c r="Q194" s="1991"/>
      <c r="R194" s="1991"/>
      <c r="S194" s="1991"/>
      <c r="T194" s="1992"/>
      <c r="U194" s="1993"/>
      <c r="V194" s="1994"/>
      <c r="W194" s="1994"/>
      <c r="X194" s="1994"/>
      <c r="Y194" s="1994"/>
      <c r="Z194" s="1994"/>
      <c r="AA194" s="1994"/>
      <c r="AB194" s="1994"/>
      <c r="AC194" s="1994"/>
      <c r="AD194" s="1994"/>
      <c r="AE194" s="1995"/>
      <c r="AF194" s="1189"/>
      <c r="AG194" s="1189"/>
      <c r="AH194" s="1996" t="s">
        <v>2318</v>
      </c>
      <c r="AI194" s="1997"/>
      <c r="AJ194" s="1997"/>
      <c r="AK194" s="1997"/>
      <c r="AL194" s="1997"/>
      <c r="AM194" s="1997"/>
      <c r="AN194" s="1997"/>
      <c r="AO194" s="1997"/>
      <c r="AP194" s="1997"/>
      <c r="AQ194" s="1997"/>
      <c r="AR194" s="1997"/>
      <c r="AS194" s="1997"/>
      <c r="AT194" s="1997"/>
      <c r="AU194" s="1998"/>
      <c r="AV194" s="1998"/>
      <c r="AW194" s="1998"/>
      <c r="AX194" s="1998"/>
      <c r="AY194" s="1998"/>
      <c r="AZ194" s="1998"/>
      <c r="BA194" s="1998"/>
      <c r="BB194" s="1998"/>
      <c r="BC194" s="1170"/>
      <c r="BD194" s="1170"/>
      <c r="BE194" s="1231"/>
    </row>
    <row r="195" spans="1:57" ht="15.75" customHeight="1">
      <c r="A195" s="1189"/>
      <c r="B195" s="1189"/>
      <c r="C195" s="1970" t="s">
        <v>2317</v>
      </c>
      <c r="D195" s="1971"/>
      <c r="E195" s="1971"/>
      <c r="F195" s="1971"/>
      <c r="G195" s="1971"/>
      <c r="H195" s="1971"/>
      <c r="I195" s="1971"/>
      <c r="J195" s="1971"/>
      <c r="K195" s="1971"/>
      <c r="L195" s="1971"/>
      <c r="M195" s="1971"/>
      <c r="N195" s="1972">
        <f>SUM(N187:T194)</f>
        <v>966713</v>
      </c>
      <c r="O195" s="1972"/>
      <c r="P195" s="1972"/>
      <c r="Q195" s="1972"/>
      <c r="R195" s="1972"/>
      <c r="S195" s="1972"/>
      <c r="T195" s="1973"/>
      <c r="U195" s="1189"/>
      <c r="V195" s="1189"/>
      <c r="W195" s="1189"/>
      <c r="X195" s="1189"/>
      <c r="Y195" s="1189"/>
      <c r="Z195" s="1189"/>
      <c r="AA195" s="1189"/>
      <c r="AB195" s="1189"/>
      <c r="AC195" s="1189"/>
      <c r="AD195" s="1189"/>
      <c r="AE195" s="1189"/>
      <c r="AF195" s="1189"/>
      <c r="AG195" s="1189"/>
      <c r="AH195" s="1974" t="s">
        <v>2316</v>
      </c>
      <c r="AI195" s="1975"/>
      <c r="AJ195" s="1975"/>
      <c r="AK195" s="1975"/>
      <c r="AL195" s="1975"/>
      <c r="AM195" s="1975"/>
      <c r="AN195" s="1975"/>
      <c r="AO195" s="1975"/>
      <c r="AP195" s="1975"/>
      <c r="AQ195" s="1975"/>
      <c r="AR195" s="1975"/>
      <c r="AS195" s="1975"/>
      <c r="AT195" s="1975"/>
      <c r="AU195" s="1975"/>
      <c r="AV195" s="1975"/>
      <c r="AW195" s="1975"/>
      <c r="AX195" s="1975"/>
      <c r="AY195" s="1975"/>
      <c r="AZ195" s="1975"/>
      <c r="BA195" s="1975"/>
      <c r="BB195" s="1975"/>
      <c r="BC195" s="1975"/>
      <c r="BD195" s="1975"/>
      <c r="BE195" s="1976"/>
    </row>
    <row r="196" spans="1:57" ht="15.75" customHeight="1" thickBot="1">
      <c r="A196" s="1189"/>
      <c r="B196" s="1189"/>
      <c r="C196" s="1980" t="s">
        <v>2315</v>
      </c>
      <c r="D196" s="1981"/>
      <c r="E196" s="1981"/>
      <c r="F196" s="1981"/>
      <c r="G196" s="1981"/>
      <c r="H196" s="1981"/>
      <c r="I196" s="1981"/>
      <c r="J196" s="1981"/>
      <c r="K196" s="1981"/>
      <c r="L196" s="1981"/>
      <c r="M196" s="1981"/>
      <c r="N196" s="1982">
        <f>(N185-N195)/J29</f>
        <v>565107.48</v>
      </c>
      <c r="O196" s="1983"/>
      <c r="P196" s="1983"/>
      <c r="Q196" s="1983"/>
      <c r="R196" s="1983"/>
      <c r="S196" s="1983"/>
      <c r="T196" s="1984"/>
      <c r="U196" s="1194"/>
      <c r="V196" s="1189"/>
      <c r="W196" s="1189"/>
      <c r="X196" s="1189"/>
      <c r="Y196" s="1189"/>
      <c r="Z196" s="1189"/>
      <c r="AA196" s="1189"/>
      <c r="AB196" s="1189"/>
      <c r="AC196" s="1189"/>
      <c r="AD196" s="1189"/>
      <c r="AE196" s="1189"/>
      <c r="AF196" s="1189"/>
      <c r="AG196" s="1189"/>
      <c r="AH196" s="1977"/>
      <c r="AI196" s="1978"/>
      <c r="AJ196" s="1978"/>
      <c r="AK196" s="1978"/>
      <c r="AL196" s="1978"/>
      <c r="AM196" s="1978"/>
      <c r="AN196" s="1978"/>
      <c r="AO196" s="1978"/>
      <c r="AP196" s="1978"/>
      <c r="AQ196" s="1978"/>
      <c r="AR196" s="1978"/>
      <c r="AS196" s="1978"/>
      <c r="AT196" s="1978"/>
      <c r="AU196" s="1978"/>
      <c r="AV196" s="1978"/>
      <c r="AW196" s="1978"/>
      <c r="AX196" s="1978"/>
      <c r="AY196" s="1978"/>
      <c r="AZ196" s="1978"/>
      <c r="BA196" s="1978"/>
      <c r="BB196" s="1978"/>
      <c r="BC196" s="1978"/>
      <c r="BD196" s="1978"/>
      <c r="BE196" s="1979"/>
    </row>
    <row r="197" spans="1:57" ht="15.75" customHeight="1">
      <c r="A197" s="1189"/>
      <c r="B197" s="1189"/>
      <c r="C197" s="1189"/>
      <c r="D197" s="1189"/>
      <c r="E197" s="1189"/>
      <c r="F197" s="1189"/>
      <c r="G197" s="1189"/>
      <c r="H197" s="1189"/>
      <c r="I197" s="1189"/>
      <c r="J197" s="1189"/>
      <c r="K197" s="1189"/>
      <c r="L197" s="1189"/>
      <c r="M197" s="1189"/>
      <c r="N197" s="1189"/>
      <c r="O197" s="1189"/>
      <c r="P197" s="1189"/>
      <c r="Q197" s="1189"/>
      <c r="R197" s="1189"/>
      <c r="S197" s="1189"/>
      <c r="T197" s="1189"/>
      <c r="U197" s="1189"/>
      <c r="V197" s="1189"/>
      <c r="W197" s="1189"/>
      <c r="X197" s="1189"/>
      <c r="Y197" s="1189"/>
      <c r="Z197" s="1189"/>
      <c r="AA197" s="1189"/>
      <c r="AB197" s="1189"/>
      <c r="AC197" s="1189"/>
      <c r="AD197" s="1189"/>
      <c r="AE197" s="1189"/>
      <c r="AF197" s="1189"/>
      <c r="AG197" s="1189"/>
      <c r="AH197" s="1985"/>
      <c r="AI197" s="1985"/>
      <c r="AJ197" s="1985"/>
      <c r="AK197" s="1985"/>
      <c r="AL197" s="1985"/>
      <c r="AM197" s="1985"/>
      <c r="AN197" s="1985"/>
      <c r="AO197" s="1985"/>
      <c r="AP197" s="1985"/>
      <c r="AQ197" s="1985"/>
      <c r="AR197" s="1985"/>
      <c r="AS197" s="1986"/>
      <c r="AT197" s="1986"/>
      <c r="AU197" s="1986"/>
      <c r="AV197" s="1986"/>
      <c r="AW197" s="1986"/>
      <c r="AX197" s="1986"/>
      <c r="AY197" s="1986"/>
      <c r="AZ197" s="1986"/>
      <c r="BA197" s="1986"/>
      <c r="BB197" s="1986"/>
      <c r="BC197" s="1986"/>
      <c r="BD197" s="1986"/>
      <c r="BE197" s="1193"/>
    </row>
    <row r="198" spans="1:57" ht="15.75" customHeight="1" thickBot="1">
      <c r="A198" s="1189"/>
      <c r="B198" s="1189"/>
      <c r="C198" s="1189"/>
      <c r="D198" s="1189"/>
      <c r="E198" s="1189"/>
      <c r="F198" s="1189"/>
      <c r="G198" s="1189"/>
      <c r="H198" s="1189"/>
      <c r="I198" s="1189"/>
      <c r="J198" s="1189"/>
      <c r="K198" s="1189"/>
      <c r="L198" s="1189"/>
      <c r="M198" s="1189"/>
      <c r="N198" s="1189"/>
      <c r="O198" s="1189"/>
      <c r="P198" s="1189"/>
      <c r="Q198" s="1189"/>
      <c r="R198" s="1189"/>
      <c r="S198" s="1189"/>
      <c r="T198" s="1189"/>
      <c r="U198" s="1189"/>
      <c r="V198" s="1189"/>
      <c r="W198" s="1189"/>
      <c r="X198" s="1189"/>
      <c r="Y198" s="1189"/>
      <c r="Z198" s="1189"/>
      <c r="AA198" s="1189"/>
      <c r="AB198" s="1189"/>
      <c r="AC198" s="1189"/>
      <c r="AD198" s="1189"/>
      <c r="AE198" s="1189"/>
      <c r="AF198" s="1189"/>
      <c r="AG198" s="1189"/>
      <c r="AH198" s="1189"/>
      <c r="AI198" s="1189"/>
      <c r="AJ198" s="1189"/>
      <c r="AK198" s="1189"/>
      <c r="AL198" s="1189"/>
      <c r="AM198" s="1189"/>
      <c r="AN198" s="1189"/>
      <c r="AO198" s="1189"/>
      <c r="AP198" s="1189"/>
      <c r="AQ198" s="1189"/>
      <c r="AR198" s="1189"/>
      <c r="AS198" s="1189"/>
      <c r="AT198" s="1189"/>
      <c r="AU198" s="1189"/>
      <c r="AV198" s="1189"/>
      <c r="AW198" s="1189"/>
      <c r="AX198" s="1189"/>
      <c r="AY198" s="1189"/>
      <c r="AZ198" s="1189"/>
      <c r="BA198" s="1189"/>
      <c r="BB198" s="1189"/>
      <c r="BC198" s="1189"/>
      <c r="BD198" s="1189"/>
      <c r="BE198" s="1193"/>
    </row>
    <row r="199" spans="1:57" ht="15.75" customHeight="1" thickBot="1">
      <c r="A199" s="1189"/>
      <c r="B199" s="1189"/>
      <c r="C199" s="1965" t="s">
        <v>2314</v>
      </c>
      <c r="D199" s="1966"/>
      <c r="E199" s="1966"/>
      <c r="F199" s="1966"/>
      <c r="G199" s="1966"/>
      <c r="H199" s="1966"/>
      <c r="I199" s="1966"/>
      <c r="J199" s="1966"/>
      <c r="K199" s="1966"/>
      <c r="L199" s="1966"/>
      <c r="M199" s="1966"/>
      <c r="N199" s="1966"/>
      <c r="O199" s="1966"/>
      <c r="P199" s="1966"/>
      <c r="Q199" s="1966"/>
      <c r="R199" s="1966"/>
      <c r="S199" s="1966"/>
      <c r="T199" s="1966"/>
      <c r="U199" s="1966"/>
      <c r="V199" s="1966"/>
      <c r="W199" s="1966"/>
      <c r="X199" s="1966"/>
      <c r="Y199" s="1966"/>
      <c r="Z199" s="1966"/>
      <c r="AA199" s="1966"/>
      <c r="AB199" s="1966"/>
      <c r="AC199" s="1966"/>
      <c r="AD199" s="1966"/>
      <c r="AE199" s="1967"/>
      <c r="AF199" s="1189"/>
      <c r="AG199" s="1189"/>
      <c r="AH199" s="1189"/>
      <c r="AI199" s="1189"/>
      <c r="AJ199" s="1189"/>
      <c r="AK199" s="1189"/>
      <c r="AL199" s="1189"/>
      <c r="AM199" s="1189"/>
      <c r="AN199" s="1189"/>
      <c r="AO199" s="1189"/>
      <c r="AP199" s="1189"/>
      <c r="AQ199" s="1189"/>
      <c r="AR199" s="1189"/>
      <c r="AS199" s="1189"/>
      <c r="AT199" s="1189"/>
      <c r="AU199" s="1189"/>
      <c r="AV199" s="1189"/>
      <c r="AW199" s="1189"/>
      <c r="AX199" s="1189"/>
      <c r="AY199" s="1189"/>
      <c r="AZ199" s="1189"/>
      <c r="BA199" s="1189"/>
      <c r="BB199" s="1189"/>
      <c r="BC199" s="1189"/>
      <c r="BD199" s="1189"/>
      <c r="BE199" s="1193"/>
    </row>
    <row r="200" spans="1:57" ht="15.75" customHeight="1">
      <c r="A200" s="1189"/>
      <c r="B200" s="1189"/>
      <c r="C200" s="1968" t="s">
        <v>2313</v>
      </c>
      <c r="D200" s="1968"/>
      <c r="E200" s="1968"/>
      <c r="F200" s="1968"/>
      <c r="G200" s="1968"/>
      <c r="H200" s="1968"/>
      <c r="I200" s="1968"/>
      <c r="J200" s="1968"/>
      <c r="K200" s="1968"/>
      <c r="L200" s="1968"/>
      <c r="M200" s="1968"/>
      <c r="N200" s="1968"/>
      <c r="O200" s="1969" t="s">
        <v>2312</v>
      </c>
      <c r="P200" s="1969"/>
      <c r="Q200" s="1969"/>
      <c r="R200" s="1969"/>
      <c r="S200" s="1969"/>
      <c r="T200" s="1969"/>
      <c r="U200" s="1969"/>
      <c r="V200" s="1969"/>
      <c r="W200" s="1969"/>
      <c r="X200" s="1969" t="s">
        <v>2311</v>
      </c>
      <c r="Y200" s="1969"/>
      <c r="Z200" s="1969"/>
      <c r="AA200" s="1969"/>
      <c r="AB200" s="1969"/>
      <c r="AC200" s="1969"/>
      <c r="AD200" s="1969"/>
      <c r="AE200" s="1969"/>
      <c r="AF200" s="1189"/>
      <c r="AG200" s="1189"/>
      <c r="AH200" s="1189"/>
      <c r="AI200" s="1189"/>
      <c r="AJ200" s="1189"/>
      <c r="AK200" s="1189"/>
      <c r="AL200" s="1189"/>
      <c r="AM200" s="1189"/>
      <c r="AN200" s="1189"/>
      <c r="AO200" s="1189"/>
      <c r="AP200" s="1189"/>
      <c r="AQ200" s="1189"/>
      <c r="AR200" s="1189"/>
      <c r="AS200" s="1189"/>
      <c r="AT200" s="1189"/>
      <c r="AU200" s="1189"/>
      <c r="AV200" s="1189"/>
      <c r="AW200" s="1189"/>
      <c r="AX200" s="1189"/>
      <c r="AY200" s="1189"/>
      <c r="AZ200" s="1189"/>
      <c r="BA200" s="1189"/>
      <c r="BB200" s="1189"/>
      <c r="BC200" s="1189"/>
      <c r="BD200" s="1189"/>
      <c r="BE200" s="1193"/>
    </row>
    <row r="201" spans="1:57" ht="15.75" customHeight="1">
      <c r="A201" s="1189"/>
      <c r="B201" s="1189"/>
      <c r="C201" s="1960" t="s">
        <v>2310</v>
      </c>
      <c r="D201" s="1960"/>
      <c r="E201" s="1960"/>
      <c r="F201" s="1960"/>
      <c r="G201" s="1960"/>
      <c r="H201" s="1960"/>
      <c r="I201" s="1960"/>
      <c r="J201" s="1960"/>
      <c r="K201" s="1960"/>
      <c r="L201" s="1960"/>
      <c r="M201" s="1960"/>
      <c r="N201" s="1960"/>
      <c r="O201" s="1961" t="s">
        <v>2309</v>
      </c>
      <c r="P201" s="1961"/>
      <c r="Q201" s="1961"/>
      <c r="R201" s="1961"/>
      <c r="S201" s="1961"/>
      <c r="T201" s="1961"/>
      <c r="U201" s="1961"/>
      <c r="V201" s="1961"/>
      <c r="W201" s="1961"/>
      <c r="X201" s="1962">
        <v>0.03</v>
      </c>
      <c r="Y201" s="1962"/>
      <c r="Z201" s="1962"/>
      <c r="AA201" s="1962"/>
      <c r="AB201" s="1962"/>
      <c r="AC201" s="1962"/>
      <c r="AD201" s="1962"/>
      <c r="AE201" s="1962"/>
      <c r="AF201" s="1189"/>
      <c r="AG201" s="1189"/>
      <c r="AH201" s="1189"/>
      <c r="AI201" s="1189"/>
      <c r="AJ201" s="1189"/>
      <c r="AK201" s="1189"/>
      <c r="AL201" s="1189"/>
      <c r="AM201" s="1189"/>
      <c r="AN201" s="1189"/>
      <c r="AO201" s="1189"/>
      <c r="AP201" s="1189"/>
      <c r="AQ201" s="1189"/>
      <c r="AR201" s="1189"/>
      <c r="AS201" s="1189"/>
      <c r="AT201" s="1189"/>
      <c r="AU201" s="1189"/>
      <c r="AV201" s="1189"/>
      <c r="AW201" s="1189"/>
      <c r="AX201" s="1189"/>
      <c r="AY201" s="1189"/>
      <c r="AZ201" s="1189"/>
      <c r="BA201" s="1189"/>
      <c r="BB201" s="1189"/>
      <c r="BC201" s="1189"/>
      <c r="BD201" s="1189"/>
      <c r="BE201" s="1193"/>
    </row>
    <row r="202" spans="1:57" ht="15.75" customHeight="1">
      <c r="A202" s="1189"/>
      <c r="B202" s="1189"/>
      <c r="C202" s="1960" t="s">
        <v>855</v>
      </c>
      <c r="D202" s="1960"/>
      <c r="E202" s="1960"/>
      <c r="F202" s="1960"/>
      <c r="G202" s="1960"/>
      <c r="H202" s="1960"/>
      <c r="I202" s="1960"/>
      <c r="J202" s="1960"/>
      <c r="K202" s="1960"/>
      <c r="L202" s="1960"/>
      <c r="M202" s="1960"/>
      <c r="N202" s="1960"/>
      <c r="O202" s="1961" t="s">
        <v>2309</v>
      </c>
      <c r="P202" s="1961"/>
      <c r="Q202" s="1961"/>
      <c r="R202" s="1961"/>
      <c r="S202" s="1961"/>
      <c r="T202" s="1961"/>
      <c r="U202" s="1961"/>
      <c r="V202" s="1961"/>
      <c r="W202" s="1961"/>
      <c r="X202" s="1962">
        <v>0.03</v>
      </c>
      <c r="Y202" s="1962"/>
      <c r="Z202" s="1962"/>
      <c r="AA202" s="1962"/>
      <c r="AB202" s="1962"/>
      <c r="AC202" s="1962"/>
      <c r="AD202" s="1962"/>
      <c r="AE202" s="1962"/>
      <c r="AF202" s="1189"/>
      <c r="AG202" s="1189"/>
      <c r="AH202" s="1189"/>
      <c r="AI202" s="1189"/>
      <c r="AJ202" s="1189"/>
      <c r="AK202" s="1189"/>
      <c r="AL202" s="1189"/>
      <c r="AM202" s="1189"/>
      <c r="AN202" s="1189"/>
      <c r="AO202" s="1189"/>
      <c r="AP202" s="1189"/>
      <c r="AQ202" s="1189"/>
      <c r="AR202" s="1189"/>
      <c r="AS202" s="1189"/>
      <c r="AT202" s="1189"/>
      <c r="AU202" s="1189"/>
      <c r="AV202" s="1189"/>
      <c r="AW202" s="1189"/>
      <c r="AX202" s="1189"/>
      <c r="AY202" s="1189"/>
      <c r="AZ202" s="1189"/>
      <c r="BA202" s="1189"/>
      <c r="BB202" s="1189"/>
      <c r="BC202" s="1189"/>
      <c r="BD202" s="1189"/>
      <c r="BE202" s="1193"/>
    </row>
    <row r="203" spans="1:57" ht="15.75" customHeight="1">
      <c r="A203" s="1189"/>
      <c r="B203" s="1189"/>
      <c r="C203" s="1960" t="s">
        <v>2308</v>
      </c>
      <c r="D203" s="1960"/>
      <c r="E203" s="1960"/>
      <c r="F203" s="1960"/>
      <c r="G203" s="1960"/>
      <c r="H203" s="1960"/>
      <c r="I203" s="1960"/>
      <c r="J203" s="1960"/>
      <c r="K203" s="1960"/>
      <c r="L203" s="1960"/>
      <c r="M203" s="1960"/>
      <c r="N203" s="1960"/>
      <c r="O203" s="1963">
        <f>SUM(O201:W202)</f>
        <v>0</v>
      </c>
      <c r="P203" s="1964"/>
      <c r="Q203" s="1964"/>
      <c r="R203" s="1964"/>
      <c r="S203" s="1964"/>
      <c r="T203" s="1964"/>
      <c r="U203" s="1964"/>
      <c r="V203" s="1964"/>
      <c r="W203" s="1964"/>
      <c r="X203" s="1964" t="s">
        <v>2307</v>
      </c>
      <c r="Y203" s="1964"/>
      <c r="Z203" s="1964"/>
      <c r="AA203" s="1964"/>
      <c r="AB203" s="1964"/>
      <c r="AC203" s="1964"/>
      <c r="AD203" s="1964"/>
      <c r="AE203" s="1964"/>
      <c r="AF203" s="1189"/>
      <c r="AG203" s="1189"/>
      <c r="AH203" s="1189"/>
      <c r="AI203" s="1189"/>
      <c r="AJ203" s="1189"/>
      <c r="AK203" s="1189"/>
      <c r="AL203" s="1189"/>
      <c r="AM203" s="1189"/>
      <c r="AN203" s="1189"/>
      <c r="AO203" s="1189"/>
      <c r="AP203" s="1189"/>
      <c r="AQ203" s="1189"/>
      <c r="AR203" s="1189"/>
      <c r="AS203" s="1189"/>
      <c r="AT203" s="1189"/>
      <c r="AU203" s="1189"/>
      <c r="AV203" s="1189"/>
      <c r="AW203" s="1189"/>
      <c r="AX203" s="1189"/>
      <c r="AY203" s="1189"/>
      <c r="AZ203" s="1189"/>
      <c r="BA203" s="1189"/>
      <c r="BB203" s="1189"/>
      <c r="BC203" s="1189"/>
      <c r="BD203" s="1189"/>
      <c r="BE203" s="1193"/>
    </row>
    <row r="204" spans="1:57" ht="15.75" customHeight="1">
      <c r="A204" s="1189"/>
      <c r="B204" s="1189"/>
      <c r="C204" s="1934" t="s">
        <v>2306</v>
      </c>
      <c r="D204" s="1934"/>
      <c r="E204" s="1934"/>
      <c r="F204" s="1934"/>
      <c r="G204" s="1934"/>
      <c r="H204" s="1934"/>
      <c r="I204" s="1934"/>
      <c r="J204" s="1934"/>
      <c r="K204" s="1934"/>
      <c r="L204" s="1934"/>
      <c r="M204" s="1934"/>
      <c r="N204" s="1934"/>
      <c r="O204" s="1934"/>
      <c r="P204" s="1934"/>
      <c r="Q204" s="1934"/>
      <c r="R204" s="1934"/>
      <c r="S204" s="1934"/>
      <c r="T204" s="1934"/>
      <c r="U204" s="1934"/>
      <c r="V204" s="1934"/>
      <c r="W204" s="1934"/>
      <c r="X204" s="1934"/>
      <c r="Y204" s="1934"/>
      <c r="Z204" s="1934"/>
      <c r="AA204" s="1934"/>
      <c r="AB204" s="1934"/>
      <c r="AC204" s="1934"/>
      <c r="AD204" s="1934"/>
      <c r="AE204" s="1934"/>
      <c r="AF204" s="1189"/>
      <c r="AG204" s="1189"/>
      <c r="AH204" s="1189"/>
      <c r="AI204" s="1189"/>
      <c r="AJ204" s="1189"/>
      <c r="AK204" s="1189"/>
      <c r="AL204" s="1189"/>
      <c r="AM204" s="1189"/>
      <c r="AN204" s="1189"/>
      <c r="AO204" s="1189"/>
      <c r="AP204" s="1189"/>
      <c r="AQ204" s="1189"/>
      <c r="AR204" s="1189"/>
      <c r="AS204" s="1189"/>
      <c r="AT204" s="1189"/>
      <c r="AU204" s="1189"/>
      <c r="AV204" s="1189"/>
      <c r="AW204" s="1189"/>
      <c r="AX204" s="1189"/>
      <c r="AY204" s="1189"/>
      <c r="AZ204" s="1189"/>
      <c r="BA204" s="1189"/>
      <c r="BB204" s="1189"/>
      <c r="BC204" s="1189"/>
      <c r="BD204" s="1189"/>
      <c r="BE204" s="1193"/>
    </row>
    <row r="205" spans="1:57" ht="15.75" customHeight="1" thickBot="1">
      <c r="A205" s="1189"/>
      <c r="B205" s="1189"/>
      <c r="C205" s="1189"/>
      <c r="D205" s="1189"/>
      <c r="E205" s="1189"/>
      <c r="F205" s="1189"/>
      <c r="G205" s="1189"/>
      <c r="H205" s="1189"/>
      <c r="I205" s="1189"/>
      <c r="J205" s="1189"/>
      <c r="K205" s="1189"/>
      <c r="L205" s="1189"/>
      <c r="M205" s="1189"/>
      <c r="N205" s="1189"/>
      <c r="O205" s="1189"/>
      <c r="P205" s="1189"/>
      <c r="Q205" s="1189"/>
      <c r="R205" s="1189"/>
      <c r="S205" s="1189"/>
      <c r="T205" s="1189"/>
      <c r="U205" s="1189"/>
      <c r="V205" s="1189"/>
      <c r="W205" s="1189"/>
      <c r="X205" s="1189"/>
      <c r="Y205" s="1189"/>
      <c r="Z205" s="1189"/>
      <c r="AA205" s="1189"/>
      <c r="AB205" s="1189"/>
      <c r="AC205" s="1189"/>
      <c r="AD205" s="1189"/>
      <c r="AE205" s="1189"/>
      <c r="AF205" s="1189"/>
      <c r="AG205" s="1189"/>
      <c r="AH205" s="1189"/>
      <c r="AI205" s="1189"/>
      <c r="AJ205" s="1189"/>
      <c r="AK205" s="1189"/>
      <c r="AL205" s="1189"/>
      <c r="AM205" s="1189"/>
      <c r="AN205" s="1189"/>
      <c r="AO205" s="1189"/>
      <c r="AP205" s="1189"/>
      <c r="AQ205" s="1189"/>
      <c r="AR205" s="1189"/>
      <c r="AS205" s="1189"/>
      <c r="AT205" s="1189"/>
      <c r="AU205" s="1189"/>
      <c r="AV205" s="1189"/>
      <c r="AW205" s="1189"/>
      <c r="AX205" s="1189"/>
      <c r="AY205" s="1189"/>
      <c r="AZ205" s="1189"/>
      <c r="BA205" s="1189"/>
      <c r="BB205" s="1189"/>
      <c r="BC205" s="1189"/>
      <c r="BD205" s="1189"/>
      <c r="BE205" s="1193"/>
    </row>
    <row r="206" spans="1:57" ht="15.75" customHeight="1" thickBot="1">
      <c r="A206" s="1189"/>
      <c r="B206" s="1189"/>
      <c r="C206" s="1935" t="s">
        <v>2305</v>
      </c>
      <c r="D206" s="1936"/>
      <c r="E206" s="1936"/>
      <c r="F206" s="1936"/>
      <c r="G206" s="1936"/>
      <c r="H206" s="1936"/>
      <c r="I206" s="1936"/>
      <c r="J206" s="1936"/>
      <c r="K206" s="1936"/>
      <c r="L206" s="1936"/>
      <c r="M206" s="1936"/>
      <c r="N206" s="1936"/>
      <c r="O206" s="1936"/>
      <c r="P206" s="1936"/>
      <c r="Q206" s="1936"/>
      <c r="R206" s="1936"/>
      <c r="S206" s="1936"/>
      <c r="T206" s="1936"/>
      <c r="U206" s="1936"/>
      <c r="V206" s="1936"/>
      <c r="W206" s="1936"/>
      <c r="X206" s="1936"/>
      <c r="Y206" s="1936"/>
      <c r="Z206" s="1936"/>
      <c r="AA206" s="1936"/>
      <c r="AB206" s="1936"/>
      <c r="AC206" s="1936"/>
      <c r="AD206" s="1936"/>
      <c r="AE206" s="1936"/>
      <c r="AF206" s="1936"/>
      <c r="AG206" s="1936"/>
      <c r="AH206" s="1936"/>
      <c r="AI206" s="1936"/>
      <c r="AJ206" s="1936"/>
      <c r="AK206" s="1937"/>
      <c r="AL206" s="1189"/>
      <c r="AM206" s="1189"/>
      <c r="AN206" s="1189"/>
      <c r="AO206" s="1189"/>
      <c r="AP206" s="1189"/>
      <c r="AQ206" s="1189"/>
      <c r="AR206" s="1189"/>
      <c r="AS206" s="1189"/>
      <c r="AT206" s="1189"/>
      <c r="AU206" s="1189"/>
      <c r="AV206" s="1189"/>
      <c r="AW206" s="1189"/>
      <c r="AX206" s="1189"/>
      <c r="AY206" s="1189"/>
      <c r="AZ206" s="1189"/>
      <c r="BA206" s="1189"/>
      <c r="BB206" s="1189"/>
      <c r="BC206" s="1189"/>
      <c r="BD206" s="1189"/>
      <c r="BE206" s="1193"/>
    </row>
    <row r="207" spans="1:57" ht="15.75" customHeight="1">
      <c r="A207" s="1189"/>
      <c r="B207" s="1189"/>
      <c r="C207" s="1938" t="s">
        <v>2304</v>
      </c>
      <c r="D207" s="1939"/>
      <c r="E207" s="1939"/>
      <c r="F207" s="1940"/>
      <c r="G207" s="1944" t="s">
        <v>2303</v>
      </c>
      <c r="H207" s="1939"/>
      <c r="I207" s="1939"/>
      <c r="J207" s="1939"/>
      <c r="K207" s="1939"/>
      <c r="L207" s="1939"/>
      <c r="M207" s="1939"/>
      <c r="N207" s="1939"/>
      <c r="O207" s="1940"/>
      <c r="P207" s="1946" t="s">
        <v>2302</v>
      </c>
      <c r="Q207" s="1947"/>
      <c r="R207" s="1947"/>
      <c r="S207" s="1947"/>
      <c r="T207" s="1948"/>
      <c r="U207" s="1952" t="s">
        <v>2301</v>
      </c>
      <c r="V207" s="1953"/>
      <c r="W207" s="1953"/>
      <c r="X207" s="1954"/>
      <c r="Y207" s="1952" t="s">
        <v>2300</v>
      </c>
      <c r="Z207" s="1953"/>
      <c r="AA207" s="1953"/>
      <c r="AB207" s="1954"/>
      <c r="AC207" s="1952" t="s">
        <v>2299</v>
      </c>
      <c r="AD207" s="1953"/>
      <c r="AE207" s="1953"/>
      <c r="AF207" s="1954"/>
      <c r="AG207" s="1944" t="s">
        <v>2298</v>
      </c>
      <c r="AH207" s="1939"/>
      <c r="AI207" s="1939"/>
      <c r="AJ207" s="1939"/>
      <c r="AK207" s="1958"/>
      <c r="AL207" s="1189"/>
      <c r="AM207" s="1189"/>
      <c r="AN207" s="1189"/>
      <c r="AO207" s="1189"/>
      <c r="AP207" s="1189"/>
      <c r="AQ207" s="1189"/>
      <c r="AR207" s="1189"/>
      <c r="AS207" s="1189"/>
      <c r="AT207" s="1189"/>
      <c r="AU207" s="1189"/>
      <c r="AV207" s="1189"/>
      <c r="AW207" s="1189"/>
      <c r="AX207" s="1189"/>
      <c r="AY207" s="1189"/>
      <c r="AZ207" s="1189"/>
      <c r="BA207" s="1189"/>
      <c r="BB207" s="1189"/>
      <c r="BC207" s="1189"/>
      <c r="BD207" s="1189"/>
      <c r="BE207" s="1193"/>
    </row>
    <row r="208" spans="1:57" ht="15.75" customHeight="1">
      <c r="A208" s="1189"/>
      <c r="B208" s="1189"/>
      <c r="C208" s="1941"/>
      <c r="D208" s="1942"/>
      <c r="E208" s="1942"/>
      <c r="F208" s="1943"/>
      <c r="G208" s="1945"/>
      <c r="H208" s="1942"/>
      <c r="I208" s="1942"/>
      <c r="J208" s="1942"/>
      <c r="K208" s="1942"/>
      <c r="L208" s="1942"/>
      <c r="M208" s="1942"/>
      <c r="N208" s="1942"/>
      <c r="O208" s="1943"/>
      <c r="P208" s="1949"/>
      <c r="Q208" s="1950"/>
      <c r="R208" s="1950"/>
      <c r="S208" s="1950"/>
      <c r="T208" s="1951"/>
      <c r="U208" s="1955"/>
      <c r="V208" s="1956"/>
      <c r="W208" s="1956"/>
      <c r="X208" s="1957"/>
      <c r="Y208" s="1955"/>
      <c r="Z208" s="1956"/>
      <c r="AA208" s="1956"/>
      <c r="AB208" s="1957"/>
      <c r="AC208" s="1955"/>
      <c r="AD208" s="1956"/>
      <c r="AE208" s="1956"/>
      <c r="AF208" s="1957"/>
      <c r="AG208" s="1945"/>
      <c r="AH208" s="1942"/>
      <c r="AI208" s="1942"/>
      <c r="AJ208" s="1942"/>
      <c r="AK208" s="1959"/>
      <c r="AL208" s="1189"/>
      <c r="AM208" s="1189"/>
      <c r="AN208" s="1189"/>
      <c r="AO208" s="1189"/>
      <c r="AP208" s="1189"/>
      <c r="AQ208" s="1189"/>
      <c r="AR208" s="1189"/>
      <c r="AS208" s="1189"/>
      <c r="AT208" s="1189"/>
      <c r="AU208" s="1189"/>
      <c r="AV208" s="1189"/>
      <c r="AW208" s="1189"/>
      <c r="AX208" s="1189"/>
      <c r="AY208" s="1189"/>
      <c r="AZ208" s="1189"/>
      <c r="BA208" s="1189"/>
      <c r="BB208" s="1189"/>
      <c r="BC208" s="1189"/>
      <c r="BD208" s="1189"/>
      <c r="BE208" s="1193"/>
    </row>
    <row r="209" spans="1:57" ht="15.75" customHeight="1">
      <c r="A209" s="1189"/>
      <c r="B209" s="1189"/>
      <c r="C209" s="1927">
        <v>1</v>
      </c>
      <c r="D209" s="1928"/>
      <c r="E209" s="1928"/>
      <c r="F209" s="1928"/>
      <c r="G209" s="1929" t="s">
        <v>1886</v>
      </c>
      <c r="H209" s="1929"/>
      <c r="I209" s="1929"/>
      <c r="J209" s="1929"/>
      <c r="K209" s="1929"/>
      <c r="L209" s="1929"/>
      <c r="M209" s="1929"/>
      <c r="N209" s="1929"/>
      <c r="O209" s="1929"/>
      <c r="P209" s="1930"/>
      <c r="Q209" s="1933"/>
      <c r="R209" s="1933"/>
      <c r="S209" s="1933"/>
      <c r="T209" s="1933"/>
      <c r="U209" s="1931" t="s">
        <v>1886</v>
      </c>
      <c r="V209" s="1931"/>
      <c r="W209" s="1931"/>
      <c r="X209" s="1931"/>
      <c r="Y209" s="1931" t="s">
        <v>1886</v>
      </c>
      <c r="Z209" s="1931"/>
      <c r="AA209" s="1931"/>
      <c r="AB209" s="1931"/>
      <c r="AC209" s="1932" t="s">
        <v>1886</v>
      </c>
      <c r="AD209" s="1932"/>
      <c r="AE209" s="1932"/>
      <c r="AF209" s="1932"/>
      <c r="AG209" s="1916"/>
      <c r="AH209" s="1917"/>
      <c r="AI209" s="1917"/>
      <c r="AJ209" s="1917"/>
      <c r="AK209" s="1918"/>
      <c r="AL209" s="1189"/>
      <c r="AM209" s="1189"/>
      <c r="AN209" s="1189"/>
      <c r="AO209" s="1189"/>
      <c r="AP209" s="1189"/>
      <c r="AQ209" s="1189"/>
      <c r="AR209" s="1189"/>
      <c r="AS209" s="1189"/>
      <c r="AT209" s="1189"/>
      <c r="AU209" s="1189"/>
      <c r="AV209" s="1189"/>
      <c r="AW209" s="1189"/>
      <c r="AX209" s="1189"/>
      <c r="AY209" s="1189"/>
      <c r="AZ209" s="1189"/>
      <c r="BA209" s="1189"/>
      <c r="BB209" s="1189"/>
      <c r="BC209" s="1189"/>
      <c r="BD209" s="1189"/>
      <c r="BE209" s="1193"/>
    </row>
    <row r="210" spans="1:57" ht="15.75" customHeight="1">
      <c r="A210" s="1189"/>
      <c r="B210" s="1189"/>
      <c r="C210" s="1927">
        <v>2</v>
      </c>
      <c r="D210" s="1928"/>
      <c r="E210" s="1928"/>
      <c r="F210" s="1928"/>
      <c r="G210" s="1929" t="s">
        <v>1886</v>
      </c>
      <c r="H210" s="1929"/>
      <c r="I210" s="1929"/>
      <c r="J210" s="1929"/>
      <c r="K210" s="1929"/>
      <c r="L210" s="1929"/>
      <c r="M210" s="1929"/>
      <c r="N210" s="1929"/>
      <c r="O210" s="1929"/>
      <c r="P210" s="1930"/>
      <c r="Q210" s="1930"/>
      <c r="R210" s="1930"/>
      <c r="S210" s="1930"/>
      <c r="T210" s="1930"/>
      <c r="U210" s="1931" t="s">
        <v>1886</v>
      </c>
      <c r="V210" s="1931"/>
      <c r="W210" s="1931"/>
      <c r="X210" s="1931"/>
      <c r="Y210" s="1931" t="s">
        <v>1886</v>
      </c>
      <c r="Z210" s="1931"/>
      <c r="AA210" s="1931"/>
      <c r="AB210" s="1931"/>
      <c r="AC210" s="1932" t="s">
        <v>1886</v>
      </c>
      <c r="AD210" s="1932"/>
      <c r="AE210" s="1932"/>
      <c r="AF210" s="1932"/>
      <c r="AG210" s="1916"/>
      <c r="AH210" s="1917"/>
      <c r="AI210" s="1917"/>
      <c r="AJ210" s="1917"/>
      <c r="AK210" s="1918"/>
      <c r="AL210" s="1189"/>
      <c r="AM210" s="1189"/>
      <c r="AN210" s="1189"/>
      <c r="AO210" s="1189"/>
      <c r="AP210" s="1189"/>
      <c r="AQ210" s="1189"/>
      <c r="AR210" s="1189"/>
      <c r="AS210" s="1189"/>
      <c r="AT210" s="1189"/>
      <c r="AU210" s="1189"/>
      <c r="AV210" s="1189"/>
      <c r="AW210" s="1189"/>
      <c r="AX210" s="1189"/>
      <c r="AY210" s="1189"/>
      <c r="AZ210" s="1189"/>
      <c r="BA210" s="1189"/>
      <c r="BB210" s="1189"/>
      <c r="BC210" s="1189"/>
      <c r="BD210" s="1189"/>
      <c r="BE210" s="1193"/>
    </row>
    <row r="211" spans="1:57" ht="15.75" customHeight="1">
      <c r="A211" s="1189"/>
      <c r="B211" s="1189"/>
      <c r="C211" s="1927">
        <v>3</v>
      </c>
      <c r="D211" s="1928"/>
      <c r="E211" s="1928"/>
      <c r="F211" s="1928"/>
      <c r="G211" s="1929" t="s">
        <v>1886</v>
      </c>
      <c r="H211" s="1929"/>
      <c r="I211" s="1929"/>
      <c r="J211" s="1929"/>
      <c r="K211" s="1929"/>
      <c r="L211" s="1929"/>
      <c r="M211" s="1929"/>
      <c r="N211" s="1929"/>
      <c r="O211" s="1929"/>
      <c r="P211" s="1930"/>
      <c r="Q211" s="1930"/>
      <c r="R211" s="1930"/>
      <c r="S211" s="1930"/>
      <c r="T211" s="1930"/>
      <c r="U211" s="1931" t="s">
        <v>1886</v>
      </c>
      <c r="V211" s="1931"/>
      <c r="W211" s="1931"/>
      <c r="X211" s="1931"/>
      <c r="Y211" s="1931" t="s">
        <v>1886</v>
      </c>
      <c r="Z211" s="1931"/>
      <c r="AA211" s="1931"/>
      <c r="AB211" s="1931"/>
      <c r="AC211" s="1932" t="s">
        <v>1886</v>
      </c>
      <c r="AD211" s="1932"/>
      <c r="AE211" s="1932"/>
      <c r="AF211" s="1932"/>
      <c r="AG211" s="1916"/>
      <c r="AH211" s="1917"/>
      <c r="AI211" s="1917"/>
      <c r="AJ211" s="1917"/>
      <c r="AK211" s="1918"/>
      <c r="AL211" s="1189"/>
      <c r="AM211" s="1189"/>
      <c r="AN211" s="1189"/>
      <c r="AO211" s="1189"/>
      <c r="AP211" s="1189"/>
      <c r="AQ211" s="1189"/>
      <c r="AR211" s="1189"/>
      <c r="AS211" s="1189"/>
      <c r="AT211" s="1189"/>
      <c r="AU211" s="1189"/>
      <c r="AV211" s="1189"/>
      <c r="AW211" s="1189"/>
      <c r="AX211" s="1189"/>
      <c r="AY211" s="1189"/>
      <c r="AZ211" s="1189"/>
      <c r="BA211" s="1189"/>
      <c r="BB211" s="1189"/>
      <c r="BC211" s="1189"/>
      <c r="BD211" s="1189"/>
      <c r="BE211" s="1193"/>
    </row>
    <row r="212" spans="1:57" ht="15.75" customHeight="1">
      <c r="A212" s="1189"/>
      <c r="B212" s="1189"/>
      <c r="C212" s="1927">
        <v>4</v>
      </c>
      <c r="D212" s="1928"/>
      <c r="E212" s="1928"/>
      <c r="F212" s="1928"/>
      <c r="G212" s="1929" t="s">
        <v>1886</v>
      </c>
      <c r="H212" s="1929"/>
      <c r="I212" s="1929"/>
      <c r="J212" s="1929"/>
      <c r="K212" s="1929"/>
      <c r="L212" s="1929"/>
      <c r="M212" s="1929"/>
      <c r="N212" s="1929"/>
      <c r="O212" s="1929"/>
      <c r="P212" s="1930"/>
      <c r="Q212" s="1930"/>
      <c r="R212" s="1930"/>
      <c r="S212" s="1930"/>
      <c r="T212" s="1930"/>
      <c r="U212" s="1931" t="s">
        <v>1886</v>
      </c>
      <c r="V212" s="1931"/>
      <c r="W212" s="1931"/>
      <c r="X212" s="1931"/>
      <c r="Y212" s="1931" t="s">
        <v>1886</v>
      </c>
      <c r="Z212" s="1931"/>
      <c r="AA212" s="1931"/>
      <c r="AB212" s="1931"/>
      <c r="AC212" s="1932" t="s">
        <v>1886</v>
      </c>
      <c r="AD212" s="1932"/>
      <c r="AE212" s="1932"/>
      <c r="AF212" s="1932"/>
      <c r="AG212" s="1916"/>
      <c r="AH212" s="1917"/>
      <c r="AI212" s="1917"/>
      <c r="AJ212" s="1917"/>
      <c r="AK212" s="1918"/>
      <c r="AL212" s="1189"/>
      <c r="AM212" s="1189"/>
      <c r="AN212" s="1189"/>
      <c r="AO212" s="1189"/>
      <c r="AP212" s="1189"/>
      <c r="AQ212" s="1189"/>
      <c r="AR212" s="1189"/>
      <c r="AS212" s="1189"/>
      <c r="AT212" s="1189"/>
      <c r="AU212" s="1189"/>
      <c r="AV212" s="1189"/>
      <c r="AW212" s="1189"/>
      <c r="AX212" s="1189"/>
      <c r="AY212" s="1189"/>
      <c r="AZ212" s="1189"/>
      <c r="BA212" s="1189"/>
      <c r="BB212" s="1189"/>
      <c r="BC212" s="1189"/>
      <c r="BD212" s="1189"/>
      <c r="BE212" s="1193"/>
    </row>
    <row r="213" spans="1:57" ht="15.75" customHeight="1">
      <c r="A213" s="1189"/>
      <c r="B213" s="1189"/>
      <c r="C213" s="1927">
        <v>5</v>
      </c>
      <c r="D213" s="1928"/>
      <c r="E213" s="1928"/>
      <c r="F213" s="1928"/>
      <c r="G213" s="1929" t="s">
        <v>1886</v>
      </c>
      <c r="H213" s="1929"/>
      <c r="I213" s="1929"/>
      <c r="J213" s="1929"/>
      <c r="K213" s="1929"/>
      <c r="L213" s="1929"/>
      <c r="M213" s="1929"/>
      <c r="N213" s="1929"/>
      <c r="O213" s="1929"/>
      <c r="P213" s="1930"/>
      <c r="Q213" s="1930"/>
      <c r="R213" s="1930"/>
      <c r="S213" s="1930"/>
      <c r="T213" s="1930"/>
      <c r="U213" s="1931" t="s">
        <v>1886</v>
      </c>
      <c r="V213" s="1931"/>
      <c r="W213" s="1931"/>
      <c r="X213" s="1931"/>
      <c r="Y213" s="1931" t="s">
        <v>1886</v>
      </c>
      <c r="Z213" s="1931"/>
      <c r="AA213" s="1931"/>
      <c r="AB213" s="1931"/>
      <c r="AC213" s="1932" t="s">
        <v>1886</v>
      </c>
      <c r="AD213" s="1932"/>
      <c r="AE213" s="1932"/>
      <c r="AF213" s="1932"/>
      <c r="AG213" s="1916"/>
      <c r="AH213" s="1917"/>
      <c r="AI213" s="1917"/>
      <c r="AJ213" s="1917"/>
      <c r="AK213" s="1918"/>
      <c r="AL213" s="1189"/>
      <c r="AM213" s="1189"/>
      <c r="AN213" s="1189"/>
      <c r="AO213" s="1189"/>
      <c r="AP213" s="1189"/>
      <c r="AQ213" s="1189"/>
      <c r="AR213" s="1189"/>
      <c r="AS213" s="1189"/>
      <c r="AT213" s="1189"/>
      <c r="AU213" s="1189"/>
      <c r="AV213" s="1189"/>
      <c r="AW213" s="1189"/>
      <c r="AX213" s="1189"/>
      <c r="AY213" s="1189"/>
      <c r="AZ213" s="1189"/>
      <c r="BA213" s="1189"/>
      <c r="BB213" s="1189"/>
      <c r="BC213" s="1189"/>
      <c r="BD213" s="1189"/>
      <c r="BE213" s="1193"/>
    </row>
    <row r="214" spans="1:57" ht="15.75" customHeight="1">
      <c r="A214" s="1189"/>
      <c r="B214" s="1189"/>
      <c r="C214" s="1927">
        <v>6</v>
      </c>
      <c r="D214" s="1928"/>
      <c r="E214" s="1928"/>
      <c r="F214" s="1928"/>
      <c r="G214" s="1929" t="s">
        <v>1886</v>
      </c>
      <c r="H214" s="1929"/>
      <c r="I214" s="1929"/>
      <c r="J214" s="1929"/>
      <c r="K214" s="1929"/>
      <c r="L214" s="1929"/>
      <c r="M214" s="1929"/>
      <c r="N214" s="1929"/>
      <c r="O214" s="1929"/>
      <c r="P214" s="1930"/>
      <c r="Q214" s="1930"/>
      <c r="R214" s="1930"/>
      <c r="S214" s="1930"/>
      <c r="T214" s="1930"/>
      <c r="U214" s="1931"/>
      <c r="V214" s="1931"/>
      <c r="W214" s="1931"/>
      <c r="X214" s="1931"/>
      <c r="Y214" s="1931"/>
      <c r="Z214" s="1931"/>
      <c r="AA214" s="1931"/>
      <c r="AB214" s="1931"/>
      <c r="AC214" s="1932" t="s">
        <v>1886</v>
      </c>
      <c r="AD214" s="1932"/>
      <c r="AE214" s="1932"/>
      <c r="AF214" s="1932"/>
      <c r="AG214" s="1916"/>
      <c r="AH214" s="1917"/>
      <c r="AI214" s="1917"/>
      <c r="AJ214" s="1917"/>
      <c r="AK214" s="1918"/>
      <c r="AL214" s="1189"/>
      <c r="AM214" s="1189"/>
      <c r="AN214" s="1189"/>
      <c r="AO214" s="1189"/>
      <c r="AP214" s="1189"/>
      <c r="AQ214" s="1189"/>
      <c r="AR214" s="1189"/>
      <c r="AS214" s="1189"/>
      <c r="AT214" s="1189"/>
      <c r="AU214" s="1189"/>
      <c r="AV214" s="1189"/>
      <c r="AW214" s="1189"/>
      <c r="AX214" s="1189"/>
      <c r="AY214" s="1189"/>
      <c r="AZ214" s="1189"/>
      <c r="BA214" s="1189"/>
      <c r="BB214" s="1189"/>
      <c r="BC214" s="1189"/>
      <c r="BD214" s="1189"/>
      <c r="BE214" s="1193"/>
    </row>
    <row r="215" spans="1:57" ht="15.75" customHeight="1">
      <c r="A215" s="1189"/>
      <c r="B215" s="1189"/>
      <c r="C215" s="1927">
        <v>7</v>
      </c>
      <c r="D215" s="1928"/>
      <c r="E215" s="1928"/>
      <c r="F215" s="1928"/>
      <c r="G215" s="1929"/>
      <c r="H215" s="1929"/>
      <c r="I215" s="1929"/>
      <c r="J215" s="1929"/>
      <c r="K215" s="1929"/>
      <c r="L215" s="1929"/>
      <c r="M215" s="1929"/>
      <c r="N215" s="1929"/>
      <c r="O215" s="1929"/>
      <c r="P215" s="1930"/>
      <c r="Q215" s="1930"/>
      <c r="R215" s="1930"/>
      <c r="S215" s="1930"/>
      <c r="T215" s="1930"/>
      <c r="U215" s="1931"/>
      <c r="V215" s="1931"/>
      <c r="W215" s="1931"/>
      <c r="X215" s="1931"/>
      <c r="Y215" s="1931"/>
      <c r="Z215" s="1931"/>
      <c r="AA215" s="1931"/>
      <c r="AB215" s="1931"/>
      <c r="AC215" s="1932" t="s">
        <v>1886</v>
      </c>
      <c r="AD215" s="1932"/>
      <c r="AE215" s="1932"/>
      <c r="AF215" s="1932"/>
      <c r="AG215" s="1916"/>
      <c r="AH215" s="1917"/>
      <c r="AI215" s="1917"/>
      <c r="AJ215" s="1917"/>
      <c r="AK215" s="1918"/>
      <c r="AL215" s="1189"/>
      <c r="AM215" s="1189"/>
      <c r="AN215" s="1189"/>
      <c r="AO215" s="1189"/>
      <c r="AP215" s="1189"/>
      <c r="AQ215" s="1189"/>
      <c r="AR215" s="1189"/>
      <c r="AS215" s="1189"/>
      <c r="AT215" s="1189"/>
      <c r="AU215" s="1189"/>
      <c r="AV215" s="1189"/>
      <c r="AW215" s="1189"/>
      <c r="AX215" s="1189"/>
      <c r="AY215" s="1189"/>
      <c r="AZ215" s="1189"/>
      <c r="BA215" s="1189"/>
      <c r="BB215" s="1189"/>
      <c r="BC215" s="1189"/>
      <c r="BD215" s="1189"/>
      <c r="BE215" s="1193"/>
    </row>
    <row r="216" spans="1:57" ht="15.75" customHeight="1">
      <c r="A216" s="1189"/>
      <c r="B216" s="1189"/>
      <c r="C216" s="1919" t="s">
        <v>2297</v>
      </c>
      <c r="D216" s="1920"/>
      <c r="E216" s="1920"/>
      <c r="F216" s="1920"/>
      <c r="G216" s="1920"/>
      <c r="H216" s="1920"/>
      <c r="I216" s="1920"/>
      <c r="J216" s="1920"/>
      <c r="K216" s="1920"/>
      <c r="L216" s="1920"/>
      <c r="M216" s="1920"/>
      <c r="N216" s="1920"/>
      <c r="O216" s="1920"/>
      <c r="P216" s="1921"/>
      <c r="Q216" s="1921"/>
      <c r="R216" s="1921"/>
      <c r="S216" s="1921"/>
      <c r="T216" s="1921"/>
      <c r="U216" s="1922">
        <f>-SUM(U209:U215)</f>
        <v>0</v>
      </c>
      <c r="V216" s="1922"/>
      <c r="W216" s="1922"/>
      <c r="X216" s="1922"/>
      <c r="Y216" s="1922">
        <f>-SUM(Y209:Y215)</f>
        <v>0</v>
      </c>
      <c r="Z216" s="1922"/>
      <c r="AA216" s="1922"/>
      <c r="AB216" s="1922"/>
      <c r="AC216" s="1923">
        <f>-SUM(AC209:AC215)</f>
        <v>0</v>
      </c>
      <c r="AD216" s="1923"/>
      <c r="AE216" s="1923"/>
      <c r="AF216" s="1923"/>
      <c r="AG216" s="1924"/>
      <c r="AH216" s="1925"/>
      <c r="AI216" s="1925"/>
      <c r="AJ216" s="1925"/>
      <c r="AK216" s="1926"/>
      <c r="AL216" s="1189"/>
      <c r="AM216" s="1189"/>
      <c r="AN216" s="1189"/>
      <c r="AO216" s="1189"/>
      <c r="AP216" s="1189"/>
      <c r="AQ216" s="1189"/>
      <c r="AR216" s="1189"/>
      <c r="AS216" s="1189"/>
      <c r="AT216" s="1189"/>
      <c r="AU216" s="1189"/>
      <c r="AV216" s="1189"/>
      <c r="AW216" s="1189"/>
      <c r="AX216" s="1189"/>
      <c r="AY216" s="1189"/>
      <c r="AZ216" s="1189"/>
      <c r="BA216" s="1189"/>
      <c r="BB216" s="1189"/>
      <c r="BC216" s="1189"/>
      <c r="BD216" s="1189"/>
      <c r="BE216" s="1193"/>
    </row>
    <row r="217" spans="1:57" ht="15.75" customHeight="1">
      <c r="A217" s="1189"/>
      <c r="B217" s="1189"/>
      <c r="C217" s="1189" t="s">
        <v>2296</v>
      </c>
      <c r="D217" s="1189"/>
      <c r="E217" s="1189"/>
      <c r="F217" s="1189"/>
      <c r="G217" s="1189"/>
      <c r="H217" s="1189"/>
      <c r="I217" s="1189"/>
      <c r="J217" s="1189"/>
      <c r="K217" s="1189"/>
      <c r="L217" s="1189"/>
      <c r="M217" s="1189"/>
      <c r="N217" s="1189"/>
      <c r="O217" s="1189"/>
      <c r="P217" s="1189"/>
      <c r="Q217" s="1189"/>
      <c r="R217" s="1189"/>
      <c r="S217" s="1189"/>
      <c r="T217" s="1189"/>
      <c r="U217" s="1189"/>
      <c r="V217" s="1189"/>
      <c r="W217" s="1189"/>
      <c r="X217" s="1189"/>
      <c r="Y217" s="1189"/>
      <c r="Z217" s="1189"/>
      <c r="AA217" s="1189"/>
      <c r="AB217" s="1189"/>
      <c r="AC217" s="1189"/>
      <c r="AD217" s="1189"/>
      <c r="AE217" s="1189"/>
      <c r="AF217" s="1189"/>
      <c r="AG217" s="1189"/>
      <c r="AH217" s="1189"/>
      <c r="AI217" s="1189"/>
      <c r="AJ217" s="1189"/>
      <c r="AK217" s="1189"/>
      <c r="AL217" s="1189"/>
      <c r="AM217" s="1189"/>
      <c r="AN217" s="1189"/>
      <c r="AO217" s="1189"/>
      <c r="AP217" s="1189"/>
      <c r="AQ217" s="1189"/>
      <c r="AR217" s="1189"/>
      <c r="AS217" s="1189"/>
      <c r="AT217" s="1189"/>
      <c r="AU217" s="1189"/>
      <c r="AV217" s="1189"/>
      <c r="AW217" s="1189"/>
      <c r="AX217" s="1189"/>
      <c r="AY217" s="1189"/>
      <c r="AZ217" s="1189"/>
      <c r="BA217" s="1189"/>
      <c r="BB217" s="1189"/>
      <c r="BC217" s="1189"/>
      <c r="BD217" s="1189"/>
      <c r="BE217" s="1193"/>
    </row>
    <row r="218" spans="1:57" ht="15.75" customHeight="1">
      <c r="A218" s="1189"/>
      <c r="B218" s="1189"/>
      <c r="C218" s="1189"/>
      <c r="D218" s="1189"/>
      <c r="E218" s="1189"/>
      <c r="F218" s="1189"/>
      <c r="G218" s="1189"/>
      <c r="H218" s="1189"/>
      <c r="I218" s="1189"/>
      <c r="J218" s="1189"/>
      <c r="K218" s="1189"/>
      <c r="L218" s="1189"/>
      <c r="M218" s="1189"/>
      <c r="N218" s="1189"/>
      <c r="O218" s="1189"/>
      <c r="P218" s="1189"/>
      <c r="Q218" s="1189"/>
      <c r="R218" s="1189"/>
      <c r="S218" s="1189"/>
      <c r="T218" s="1189"/>
      <c r="U218" s="1189"/>
      <c r="V218" s="1189"/>
      <c r="W218" s="1189"/>
      <c r="X218" s="1189"/>
      <c r="Y218" s="1189"/>
      <c r="Z218" s="1189"/>
      <c r="AA218" s="1189"/>
      <c r="AB218" s="1189"/>
      <c r="AC218" s="1189"/>
      <c r="AD218" s="1189"/>
      <c r="AE218" s="1189"/>
      <c r="AF218" s="1189"/>
      <c r="AG218" s="1189"/>
      <c r="AH218" s="1189"/>
      <c r="AI218" s="1189"/>
      <c r="AJ218" s="1189"/>
      <c r="AK218" s="1189"/>
      <c r="AL218" s="1189"/>
      <c r="AM218" s="1189"/>
      <c r="AN218" s="1189"/>
      <c r="AO218" s="1189"/>
      <c r="AP218" s="1189"/>
      <c r="AQ218" s="1189"/>
      <c r="AR218" s="1189"/>
      <c r="AS218" s="1189"/>
      <c r="AT218" s="1189"/>
      <c r="AU218" s="1189"/>
      <c r="AV218" s="1189"/>
      <c r="AW218" s="1189"/>
      <c r="AX218" s="1189"/>
      <c r="AY218" s="1189"/>
      <c r="AZ218" s="1189"/>
      <c r="BA218" s="1189"/>
      <c r="BB218" s="1189"/>
      <c r="BC218" s="1189"/>
      <c r="BD218" s="1189"/>
      <c r="BE218" s="1193"/>
    </row>
    <row r="219" spans="1:57" ht="15.75" customHeight="1">
      <c r="A219" s="1189"/>
      <c r="B219" s="1189"/>
      <c r="C219" s="1189"/>
      <c r="D219" s="1189"/>
      <c r="E219" s="1189"/>
      <c r="F219" s="1189"/>
      <c r="G219" s="1189"/>
      <c r="H219" s="1189"/>
      <c r="I219" s="1189"/>
      <c r="J219" s="1189"/>
      <c r="K219" s="1189"/>
      <c r="L219" s="1189"/>
      <c r="M219" s="1189"/>
      <c r="N219" s="1189"/>
      <c r="O219" s="1189"/>
      <c r="P219" s="1189"/>
      <c r="Q219" s="1189"/>
      <c r="R219" s="1189"/>
      <c r="S219" s="1189"/>
      <c r="T219" s="1189"/>
      <c r="U219" s="1189"/>
      <c r="V219" s="1189"/>
      <c r="W219" s="1189"/>
      <c r="X219" s="1189"/>
      <c r="Y219" s="1189"/>
      <c r="Z219" s="1189"/>
      <c r="AA219" s="1189"/>
      <c r="AB219" s="1189"/>
      <c r="AC219" s="1189"/>
      <c r="AD219" s="1189"/>
      <c r="AE219" s="1189"/>
      <c r="AF219" s="1189"/>
      <c r="AG219" s="1189"/>
      <c r="AH219" s="1189"/>
      <c r="AI219" s="1189"/>
      <c r="AJ219" s="1189"/>
      <c r="AK219" s="1189"/>
      <c r="AL219" s="1189"/>
      <c r="AM219" s="1189"/>
      <c r="AN219" s="1189"/>
      <c r="AO219" s="1189"/>
      <c r="AP219" s="1189"/>
      <c r="AQ219" s="1189"/>
      <c r="AR219" s="1189"/>
      <c r="AS219" s="1189"/>
      <c r="AT219" s="1189"/>
      <c r="AU219" s="1189"/>
      <c r="AV219" s="1189"/>
      <c r="AW219" s="1189"/>
      <c r="AX219" s="1189"/>
      <c r="AY219" s="1189"/>
      <c r="AZ219" s="1189"/>
      <c r="BA219" s="1189"/>
      <c r="BB219" s="1189"/>
      <c r="BC219" s="1189"/>
      <c r="BD219" s="1189"/>
      <c r="BE219" s="1193"/>
    </row>
    <row r="220" spans="1:57" ht="15.75" customHeight="1" thickBot="1">
      <c r="A220" s="1189"/>
      <c r="B220" s="1189"/>
      <c r="C220" s="1189"/>
      <c r="D220" s="1189"/>
      <c r="E220" s="1189"/>
      <c r="F220" s="1189"/>
      <c r="G220" s="1189"/>
      <c r="H220" s="1189"/>
      <c r="I220" s="1189"/>
      <c r="J220" s="1189"/>
      <c r="K220" s="1189"/>
      <c r="L220" s="1189"/>
      <c r="M220" s="1189"/>
      <c r="N220" s="1189"/>
      <c r="O220" s="1189"/>
      <c r="P220" s="1189"/>
      <c r="Q220" s="1189"/>
      <c r="R220" s="1189"/>
      <c r="S220" s="1189"/>
      <c r="T220" s="1189"/>
      <c r="U220" s="1189"/>
      <c r="V220" s="1189"/>
      <c r="W220" s="1189"/>
      <c r="X220" s="1189"/>
      <c r="Y220" s="1189"/>
      <c r="Z220" s="1189"/>
      <c r="AA220" s="1189"/>
      <c r="AB220" s="1189"/>
      <c r="AC220" s="1189"/>
      <c r="AD220" s="1189"/>
      <c r="AE220" s="1189"/>
      <c r="AF220" s="1189"/>
      <c r="AG220" s="1189"/>
      <c r="AH220" s="1189"/>
      <c r="AI220" s="1189"/>
      <c r="AJ220" s="1189"/>
      <c r="AK220" s="1189"/>
      <c r="AL220" s="1189"/>
      <c r="AM220" s="1189"/>
      <c r="AN220" s="1189"/>
      <c r="AO220" s="1189"/>
      <c r="AP220" s="1189"/>
      <c r="AQ220" s="1189"/>
      <c r="AR220" s="1189"/>
      <c r="AS220" s="1189"/>
      <c r="AT220" s="1189"/>
      <c r="AU220" s="1189"/>
      <c r="AV220" s="1189"/>
      <c r="AW220" s="1189"/>
      <c r="AX220" s="1189"/>
      <c r="AY220" s="1189"/>
      <c r="AZ220" s="1189"/>
      <c r="BA220" s="1189"/>
      <c r="BB220" s="1189"/>
      <c r="BC220" s="1189"/>
      <c r="BD220" s="1189"/>
      <c r="BE220" s="1193"/>
    </row>
    <row r="221" spans="1:57" ht="15.75" customHeight="1">
      <c r="A221" s="1189"/>
      <c r="B221" s="1903" t="s">
        <v>2295</v>
      </c>
      <c r="C221" s="1904"/>
      <c r="D221" s="1904"/>
      <c r="E221" s="1904"/>
      <c r="F221" s="1904"/>
      <c r="G221" s="1904"/>
      <c r="H221" s="1904"/>
      <c r="I221" s="1904"/>
      <c r="J221" s="1904"/>
      <c r="K221" s="1904"/>
      <c r="L221" s="1904"/>
      <c r="M221" s="1904"/>
      <c r="N221" s="1904"/>
      <c r="O221" s="1904"/>
      <c r="P221" s="1904"/>
      <c r="Q221" s="1904"/>
      <c r="R221" s="1904"/>
      <c r="S221" s="1904"/>
      <c r="T221" s="1904"/>
      <c r="U221" s="1904"/>
      <c r="V221" s="1904"/>
      <c r="W221" s="1904"/>
      <c r="X221" s="1904"/>
      <c r="Y221" s="1904"/>
      <c r="Z221" s="1904"/>
      <c r="AA221" s="1904"/>
      <c r="AB221" s="1904"/>
      <c r="AC221" s="1904"/>
      <c r="AD221" s="1904"/>
      <c r="AE221" s="1904"/>
      <c r="AF221" s="1904"/>
      <c r="AG221" s="1904"/>
      <c r="AH221" s="1904"/>
      <c r="AI221" s="1904"/>
      <c r="AJ221" s="1904"/>
      <c r="AK221" s="1904"/>
      <c r="AL221" s="1904"/>
      <c r="AM221" s="1904"/>
      <c r="AN221" s="1904"/>
      <c r="AO221" s="1904"/>
      <c r="AP221" s="1904"/>
      <c r="AQ221" s="1904"/>
      <c r="AR221" s="1904"/>
      <c r="AS221" s="1904"/>
      <c r="AT221" s="1904"/>
      <c r="AU221" s="1904"/>
      <c r="AV221" s="1904"/>
      <c r="AW221" s="1904"/>
      <c r="AX221" s="1904"/>
      <c r="AY221" s="1904"/>
      <c r="AZ221" s="1904"/>
      <c r="BA221" s="1904"/>
      <c r="BB221" s="1904"/>
      <c r="BC221" s="1904"/>
      <c r="BD221" s="1905"/>
      <c r="BE221" s="1193"/>
    </row>
    <row r="222" spans="1:57" ht="15.75" customHeight="1">
      <c r="A222" s="1189"/>
      <c r="B222" s="1906"/>
      <c r="C222" s="1907"/>
      <c r="D222" s="1907"/>
      <c r="E222" s="1907"/>
      <c r="F222" s="1907"/>
      <c r="G222" s="1907"/>
      <c r="H222" s="1907"/>
      <c r="I222" s="1907"/>
      <c r="J222" s="1907"/>
      <c r="K222" s="1907"/>
      <c r="L222" s="1907"/>
      <c r="M222" s="1907"/>
      <c r="N222" s="1907"/>
      <c r="O222" s="1907"/>
      <c r="P222" s="1907"/>
      <c r="Q222" s="1907"/>
      <c r="R222" s="1907"/>
      <c r="S222" s="1907"/>
      <c r="T222" s="1907"/>
      <c r="U222" s="1907"/>
      <c r="V222" s="1907"/>
      <c r="W222" s="1907"/>
      <c r="X222" s="1907"/>
      <c r="Y222" s="1907"/>
      <c r="Z222" s="1907"/>
      <c r="AA222" s="1907"/>
      <c r="AB222" s="1907"/>
      <c r="AC222" s="1907"/>
      <c r="AD222" s="1907"/>
      <c r="AE222" s="1907"/>
      <c r="AF222" s="1907"/>
      <c r="AG222" s="1907"/>
      <c r="AH222" s="1907"/>
      <c r="AI222" s="1907"/>
      <c r="AJ222" s="1907"/>
      <c r="AK222" s="1907"/>
      <c r="AL222" s="1907"/>
      <c r="AM222" s="1907"/>
      <c r="AN222" s="1907"/>
      <c r="AO222" s="1907"/>
      <c r="AP222" s="1907"/>
      <c r="AQ222" s="1907"/>
      <c r="AR222" s="1907"/>
      <c r="AS222" s="1907"/>
      <c r="AT222" s="1907"/>
      <c r="AU222" s="1907"/>
      <c r="AV222" s="1907"/>
      <c r="AW222" s="1907"/>
      <c r="AX222" s="1907"/>
      <c r="AY222" s="1907"/>
      <c r="AZ222" s="1907"/>
      <c r="BA222" s="1907"/>
      <c r="BB222" s="1907"/>
      <c r="BC222" s="1907"/>
      <c r="BD222" s="1908"/>
      <c r="BE222" s="1193"/>
    </row>
    <row r="223" spans="1:57" ht="15.75" customHeight="1">
      <c r="A223" s="1189"/>
      <c r="B223" s="1909" t="s">
        <v>2294</v>
      </c>
      <c r="C223" s="1910"/>
      <c r="D223" s="1910"/>
      <c r="E223" s="1910"/>
      <c r="F223" s="1910"/>
      <c r="G223" s="1910"/>
      <c r="H223" s="1910"/>
      <c r="I223" s="1910"/>
      <c r="J223" s="1910"/>
      <c r="K223" s="1910"/>
      <c r="L223" s="1910"/>
      <c r="M223" s="1910"/>
      <c r="N223" s="1910"/>
      <c r="O223" s="1910"/>
      <c r="P223" s="1910"/>
      <c r="Q223" s="1910"/>
      <c r="R223" s="1910"/>
      <c r="S223" s="1910"/>
      <c r="T223" s="1910"/>
      <c r="U223" s="1910"/>
      <c r="V223" s="1910"/>
      <c r="W223" s="1910"/>
      <c r="X223" s="1910"/>
      <c r="Y223" s="1910"/>
      <c r="Z223" s="1910"/>
      <c r="AA223" s="1910"/>
      <c r="AB223" s="1910"/>
      <c r="AC223" s="1910"/>
      <c r="AD223" s="1910"/>
      <c r="AE223" s="1910"/>
      <c r="AF223" s="1910"/>
      <c r="AG223" s="1910"/>
      <c r="AH223" s="1910"/>
      <c r="AI223" s="1910"/>
      <c r="AJ223" s="1910"/>
      <c r="AK223" s="1910"/>
      <c r="AL223" s="1910"/>
      <c r="AM223" s="1910"/>
      <c r="AN223" s="1910"/>
      <c r="AO223" s="1910"/>
      <c r="AP223" s="1910"/>
      <c r="AQ223" s="1910"/>
      <c r="AR223" s="1910"/>
      <c r="AS223" s="1910"/>
      <c r="AT223" s="1910"/>
      <c r="AU223" s="1910"/>
      <c r="AV223" s="1910"/>
      <c r="AW223" s="1910"/>
      <c r="AX223" s="1910"/>
      <c r="AY223" s="1910"/>
      <c r="AZ223" s="1910"/>
      <c r="BA223" s="1910"/>
      <c r="BB223" s="1910"/>
      <c r="BC223" s="1910"/>
      <c r="BD223" s="1911"/>
      <c r="BE223" s="1193"/>
    </row>
    <row r="224" spans="1:57" ht="15.75" customHeight="1">
      <c r="A224" s="1189"/>
      <c r="B224" s="1909" t="s">
        <v>2293</v>
      </c>
      <c r="C224" s="1910"/>
      <c r="D224" s="1910"/>
      <c r="E224" s="1910"/>
      <c r="F224" s="1910"/>
      <c r="G224" s="1910"/>
      <c r="H224" s="1910"/>
      <c r="I224" s="1910"/>
      <c r="J224" s="1910"/>
      <c r="K224" s="1910"/>
      <c r="L224" s="1910"/>
      <c r="M224" s="1910"/>
      <c r="N224" s="1910"/>
      <c r="O224" s="1910"/>
      <c r="P224" s="1910"/>
      <c r="Q224" s="1910"/>
      <c r="R224" s="1910"/>
      <c r="S224" s="1910"/>
      <c r="T224" s="1910"/>
      <c r="U224" s="1910"/>
      <c r="V224" s="1910"/>
      <c r="W224" s="1910"/>
      <c r="X224" s="1910"/>
      <c r="Y224" s="1910"/>
      <c r="Z224" s="1910"/>
      <c r="AA224" s="1910"/>
      <c r="AB224" s="1910"/>
      <c r="AC224" s="1910"/>
      <c r="AD224" s="1910"/>
      <c r="AE224" s="1910"/>
      <c r="AF224" s="1910"/>
      <c r="AG224" s="1910"/>
      <c r="AH224" s="1910"/>
      <c r="AI224" s="1910"/>
      <c r="AJ224" s="1910"/>
      <c r="AK224" s="1910"/>
      <c r="AL224" s="1910"/>
      <c r="AM224" s="1910"/>
      <c r="AN224" s="1910"/>
      <c r="AO224" s="1910"/>
      <c r="AP224" s="1910"/>
      <c r="AQ224" s="1910"/>
      <c r="AR224" s="1910"/>
      <c r="AS224" s="1910"/>
      <c r="AT224" s="1910"/>
      <c r="AU224" s="1910"/>
      <c r="AV224" s="1910"/>
      <c r="AW224" s="1910"/>
      <c r="AX224" s="1910"/>
      <c r="AY224" s="1910"/>
      <c r="AZ224" s="1910"/>
      <c r="BA224" s="1910"/>
      <c r="BB224" s="1910"/>
      <c r="BC224" s="1910"/>
      <c r="BD224" s="1911"/>
      <c r="BE224" s="1193"/>
    </row>
    <row r="225" spans="1:57" ht="15.75" customHeight="1">
      <c r="A225" s="1189"/>
      <c r="B225" s="1188"/>
      <c r="C225" s="1189"/>
      <c r="D225" s="1189"/>
      <c r="E225" s="1189"/>
      <c r="F225" s="1189"/>
      <c r="G225" s="1189"/>
      <c r="H225" s="1189"/>
      <c r="I225" s="1189"/>
      <c r="J225" s="1189"/>
      <c r="K225" s="1189"/>
      <c r="L225" s="1189"/>
      <c r="M225" s="1189"/>
      <c r="N225" s="1189"/>
      <c r="O225" s="1189"/>
      <c r="P225" s="1189"/>
      <c r="Q225" s="1189"/>
      <c r="R225" s="1189"/>
      <c r="S225" s="1189"/>
      <c r="T225" s="1189"/>
      <c r="U225" s="1189"/>
      <c r="V225" s="1189"/>
      <c r="W225" s="1189"/>
      <c r="X225" s="1189"/>
      <c r="Y225" s="1189"/>
      <c r="Z225" s="1189"/>
      <c r="AA225" s="1189"/>
      <c r="AB225" s="1189"/>
      <c r="AC225" s="1189"/>
      <c r="AD225" s="1189"/>
      <c r="AE225" s="1189"/>
      <c r="AF225" s="1189"/>
      <c r="AG225" s="1189"/>
      <c r="AH225" s="1189"/>
      <c r="AI225" s="1189"/>
      <c r="AJ225" s="1189"/>
      <c r="AK225" s="1189"/>
      <c r="AL225" s="1189"/>
      <c r="AM225" s="1189"/>
      <c r="AN225" s="1189"/>
      <c r="AO225" s="1189"/>
      <c r="AP225" s="1189"/>
      <c r="AQ225" s="1189"/>
      <c r="AR225" s="1189"/>
      <c r="AS225" s="1189"/>
      <c r="AT225" s="1189"/>
      <c r="AU225" s="1189"/>
      <c r="AV225" s="1189"/>
      <c r="AW225" s="1189"/>
      <c r="AX225" s="1189"/>
      <c r="AY225" s="1189"/>
      <c r="AZ225" s="1189"/>
      <c r="BA225" s="1189"/>
      <c r="BB225" s="1189"/>
      <c r="BC225" s="1189"/>
      <c r="BD225" s="1193"/>
      <c r="BE225" s="1193"/>
    </row>
    <row r="226" spans="1:57" ht="15.75" customHeight="1">
      <c r="A226" s="1189"/>
      <c r="B226" s="1912" t="s">
        <v>2292</v>
      </c>
      <c r="C226" s="1913"/>
      <c r="D226" s="1913"/>
      <c r="E226" s="1913"/>
      <c r="F226" s="1913"/>
      <c r="G226" s="1913"/>
      <c r="H226" s="1913"/>
      <c r="I226" s="1913"/>
      <c r="J226" s="1913"/>
      <c r="K226" s="1913"/>
      <c r="L226" s="1913"/>
      <c r="M226" s="1913"/>
      <c r="N226" s="1913"/>
      <c r="O226" s="1913"/>
      <c r="P226" s="1913"/>
      <c r="Q226" s="1913"/>
      <c r="R226" s="1913"/>
      <c r="S226" s="1913"/>
      <c r="T226" s="1913"/>
      <c r="U226" s="1913"/>
      <c r="V226" s="1913"/>
      <c r="W226" s="1913"/>
      <c r="X226" s="1913"/>
      <c r="Y226" s="1913"/>
      <c r="Z226" s="1913"/>
      <c r="AA226" s="1913"/>
      <c r="AB226" s="1913"/>
      <c r="AC226" s="1913"/>
      <c r="AD226" s="1913"/>
      <c r="AE226" s="1913"/>
      <c r="AF226" s="1913"/>
      <c r="AG226" s="1913"/>
      <c r="AH226" s="1913"/>
      <c r="AI226" s="1913"/>
      <c r="AJ226" s="1913"/>
      <c r="AK226" s="1913"/>
      <c r="AL226" s="1913"/>
      <c r="AM226" s="1913"/>
      <c r="AN226" s="1913"/>
      <c r="AO226" s="1913"/>
      <c r="AP226" s="1913"/>
      <c r="AQ226" s="1913"/>
      <c r="AR226" s="1913"/>
      <c r="AS226" s="1913"/>
      <c r="AT226" s="1913"/>
      <c r="AU226" s="1913"/>
      <c r="AV226" s="1913"/>
      <c r="AW226" s="1913"/>
      <c r="AX226" s="1913"/>
      <c r="AY226" s="1913"/>
      <c r="AZ226" s="1913"/>
      <c r="BA226" s="1913"/>
      <c r="BB226" s="1913"/>
      <c r="BC226" s="1913"/>
      <c r="BD226" s="1914"/>
      <c r="BE226" s="1193"/>
    </row>
    <row r="227" spans="1:57" ht="15.75" customHeight="1">
      <c r="A227" s="1189"/>
      <c r="B227" s="1232"/>
      <c r="C227" s="1189"/>
      <c r="D227" s="1189"/>
      <c r="E227" s="1189"/>
      <c r="F227" s="1189"/>
      <c r="G227" s="1189"/>
      <c r="H227" s="1189"/>
      <c r="I227" s="1189"/>
      <c r="J227" s="1189"/>
      <c r="K227" s="1189"/>
      <c r="L227" s="1189"/>
      <c r="M227" s="1189"/>
      <c r="N227" s="1189"/>
      <c r="O227" s="1189"/>
      <c r="P227" s="1189"/>
      <c r="Q227" s="1189"/>
      <c r="R227" s="1189"/>
      <c r="S227" s="1189"/>
      <c r="T227" s="1189"/>
      <c r="U227" s="1189"/>
      <c r="V227" s="1189"/>
      <c r="W227" s="1189"/>
      <c r="X227" s="1189"/>
      <c r="Y227" s="1189"/>
      <c r="Z227" s="1189"/>
      <c r="AA227" s="1189"/>
      <c r="AB227" s="1189"/>
      <c r="AC227" s="1189"/>
      <c r="AD227" s="1189"/>
      <c r="AE227" s="1189"/>
      <c r="AF227" s="1189"/>
      <c r="AG227" s="1189"/>
      <c r="AH227" s="1189"/>
      <c r="AI227" s="1189"/>
      <c r="AJ227" s="1189"/>
      <c r="AK227" s="1189"/>
      <c r="AL227" s="1189"/>
      <c r="AM227" s="1189"/>
      <c r="AN227" s="1189"/>
      <c r="AO227" s="1189"/>
      <c r="AP227" s="1189"/>
      <c r="AQ227" s="1189"/>
      <c r="AR227" s="1189"/>
      <c r="AS227" s="1189"/>
      <c r="AT227" s="1189"/>
      <c r="AU227" s="1189"/>
      <c r="AV227" s="1189"/>
      <c r="AW227" s="1189"/>
      <c r="AX227" s="1189"/>
      <c r="AY227" s="1189"/>
      <c r="AZ227" s="1189"/>
      <c r="BA227" s="1189"/>
      <c r="BB227" s="1189"/>
      <c r="BC227" s="1189"/>
      <c r="BD227" s="1193"/>
      <c r="BE227" s="1193"/>
    </row>
    <row r="228" spans="1:57" ht="15.75" customHeight="1">
      <c r="A228" s="1189"/>
      <c r="B228" s="1233"/>
      <c r="C228" s="1189"/>
      <c r="D228" s="1189"/>
      <c r="E228" s="1189"/>
      <c r="F228" s="1189"/>
      <c r="G228" s="1189"/>
      <c r="H228" s="1191" t="s">
        <v>2291</v>
      </c>
      <c r="I228" s="1189"/>
      <c r="J228" s="1189"/>
      <c r="K228" s="1189"/>
      <c r="L228" s="1189"/>
      <c r="M228" s="1189"/>
      <c r="N228" s="1189"/>
      <c r="O228" s="1189"/>
      <c r="P228" s="1189"/>
      <c r="Q228" s="1189"/>
      <c r="R228" s="1189"/>
      <c r="S228" s="1189"/>
      <c r="T228" s="1189"/>
      <c r="U228" s="1189"/>
      <c r="V228" s="1189"/>
      <c r="W228" s="1189"/>
      <c r="X228" s="1189"/>
      <c r="Y228" s="1189"/>
      <c r="Z228" s="1189"/>
      <c r="AA228" s="1189"/>
      <c r="AB228" s="1189"/>
      <c r="AC228" s="1189"/>
      <c r="AD228" s="1189"/>
      <c r="AE228" s="1189"/>
      <c r="AF228" s="1189"/>
      <c r="AG228" s="1189"/>
      <c r="AH228" s="1189"/>
      <c r="AI228" s="1189"/>
      <c r="AJ228" s="1189"/>
      <c r="AK228" s="1189"/>
      <c r="AL228" s="1189"/>
      <c r="AM228" s="1189"/>
      <c r="AN228" s="1189"/>
      <c r="AO228" s="1189"/>
      <c r="AP228" s="1189"/>
      <c r="AQ228" s="1189"/>
      <c r="AR228" s="1189"/>
      <c r="AS228" s="1189"/>
      <c r="AT228" s="1189"/>
      <c r="AU228" s="1189"/>
      <c r="AV228" s="1189"/>
      <c r="AW228" s="1189"/>
      <c r="AX228" s="1189"/>
      <c r="AY228" s="1189"/>
      <c r="AZ228" s="1189"/>
      <c r="BA228" s="1189"/>
      <c r="BB228" s="1189"/>
      <c r="BC228" s="1189"/>
      <c r="BD228" s="1193"/>
      <c r="BE228" s="1193"/>
    </row>
    <row r="229" spans="1:57" ht="15.75" customHeight="1">
      <c r="A229" s="1189"/>
      <c r="B229" s="1233"/>
      <c r="C229" s="1189"/>
      <c r="D229" s="1189"/>
      <c r="E229" s="1189"/>
      <c r="F229" s="1189"/>
      <c r="G229" s="1189"/>
      <c r="H229" s="1189"/>
      <c r="I229" s="1189"/>
      <c r="J229" s="1189"/>
      <c r="K229" s="1189"/>
      <c r="L229" s="1189"/>
      <c r="M229" s="1189"/>
      <c r="N229" s="1189"/>
      <c r="O229" s="1189"/>
      <c r="P229" s="1189"/>
      <c r="Q229" s="1189"/>
      <c r="R229" s="1189"/>
      <c r="S229" s="1189"/>
      <c r="T229" s="1189"/>
      <c r="U229" s="1189"/>
      <c r="V229" s="1189"/>
      <c r="W229" s="1189"/>
      <c r="X229" s="1189"/>
      <c r="Y229" s="1189"/>
      <c r="Z229" s="1189"/>
      <c r="AA229" s="1189"/>
      <c r="AB229" s="1189"/>
      <c r="AC229" s="1189"/>
      <c r="AD229" s="1189"/>
      <c r="AE229" s="1189"/>
      <c r="AF229" s="1189"/>
      <c r="AG229" s="1189"/>
      <c r="AH229" s="1189"/>
      <c r="AI229" s="1189"/>
      <c r="AJ229" s="1189"/>
      <c r="AK229" s="1189"/>
      <c r="AL229" s="1189"/>
      <c r="AM229" s="1189"/>
      <c r="AN229" s="1189"/>
      <c r="AO229" s="1189"/>
      <c r="AP229" s="1189"/>
      <c r="AQ229" s="1189"/>
      <c r="AR229" s="1189"/>
      <c r="AS229" s="1189"/>
      <c r="AT229" s="1189"/>
      <c r="AU229" s="1189"/>
      <c r="AV229" s="1189"/>
      <c r="AW229" s="1189"/>
      <c r="AX229" s="1189"/>
      <c r="AY229" s="1189"/>
      <c r="AZ229" s="1189"/>
      <c r="BA229" s="1189"/>
      <c r="BB229" s="1189"/>
      <c r="BC229" s="1189"/>
      <c r="BD229" s="1193"/>
      <c r="BE229" s="1193"/>
    </row>
    <row r="230" spans="1:57" ht="15.75" customHeight="1">
      <c r="A230" s="1189"/>
      <c r="B230" s="1233"/>
      <c r="C230" s="1189"/>
      <c r="D230" s="1189"/>
      <c r="E230" s="1189"/>
      <c r="F230" s="1189"/>
      <c r="G230" s="1189"/>
      <c r="H230" s="1915" t="s">
        <v>2290</v>
      </c>
      <c r="I230" s="1915"/>
      <c r="J230" s="1915"/>
      <c r="K230" s="1915"/>
      <c r="L230" s="1915"/>
      <c r="M230" s="1915"/>
      <c r="N230" s="1915"/>
      <c r="O230" s="1915"/>
      <c r="P230" s="1915"/>
      <c r="Q230" s="1915"/>
      <c r="R230" s="1915"/>
      <c r="S230" s="1915"/>
      <c r="T230" s="1915"/>
      <c r="U230" s="1915"/>
      <c r="V230" s="1915"/>
      <c r="W230" s="1915"/>
      <c r="X230" s="1915"/>
      <c r="Y230" s="1915"/>
      <c r="Z230" s="1915"/>
      <c r="AA230" s="1915"/>
      <c r="AB230" s="1915"/>
      <c r="AC230" s="1915"/>
      <c r="AD230" s="1915"/>
      <c r="AE230" s="1915"/>
      <c r="AF230" s="1915"/>
      <c r="AG230" s="1915"/>
      <c r="AH230" s="1915"/>
      <c r="AI230" s="1915"/>
      <c r="AJ230" s="1915"/>
      <c r="AK230" s="1915"/>
      <c r="AL230" s="1915"/>
      <c r="AM230" s="1915"/>
      <c r="AN230" s="1915"/>
      <c r="AO230" s="1915"/>
      <c r="AP230" s="1915"/>
      <c r="AQ230" s="1915"/>
      <c r="AR230" s="1915"/>
      <c r="AS230" s="1915"/>
      <c r="AT230" s="1915"/>
      <c r="AU230" s="1915"/>
      <c r="AV230" s="1915"/>
      <c r="AW230" s="1915"/>
      <c r="AX230" s="1915"/>
      <c r="AY230" s="1915"/>
      <c r="AZ230" s="1189"/>
      <c r="BA230" s="1189"/>
      <c r="BB230" s="1189"/>
      <c r="BC230" s="1189"/>
      <c r="BD230" s="1193"/>
      <c r="BE230" s="1193"/>
    </row>
    <row r="231" spans="1:57" ht="15.75" customHeight="1">
      <c r="A231" s="1189"/>
      <c r="B231" s="1233"/>
      <c r="C231" s="1189"/>
      <c r="D231" s="1189"/>
      <c r="E231" s="1189"/>
      <c r="F231" s="1189"/>
      <c r="G231" s="1189"/>
      <c r="H231" s="1189"/>
      <c r="I231" s="1189"/>
      <c r="J231" s="1189"/>
      <c r="K231" s="1189"/>
      <c r="L231" s="1189"/>
      <c r="M231" s="1189"/>
      <c r="N231" s="1189"/>
      <c r="O231" s="1189"/>
      <c r="P231" s="1189"/>
      <c r="Q231" s="1189"/>
      <c r="R231" s="1189"/>
      <c r="S231" s="1189"/>
      <c r="T231" s="1189"/>
      <c r="U231" s="1189"/>
      <c r="V231" s="1189"/>
      <c r="W231" s="1189"/>
      <c r="X231" s="1189"/>
      <c r="Y231" s="1189"/>
      <c r="Z231" s="1189"/>
      <c r="AA231" s="1189"/>
      <c r="AB231" s="1189"/>
      <c r="AC231" s="1189"/>
      <c r="AD231" s="1189"/>
      <c r="AE231" s="1189"/>
      <c r="AF231" s="1189"/>
      <c r="AG231" s="1189"/>
      <c r="AH231" s="1189"/>
      <c r="AI231" s="1189"/>
      <c r="AJ231" s="1189"/>
      <c r="AK231" s="1189"/>
      <c r="AL231" s="1189"/>
      <c r="AM231" s="1189"/>
      <c r="AN231" s="1189"/>
      <c r="AO231" s="1189"/>
      <c r="AP231" s="1189"/>
      <c r="AQ231" s="1189"/>
      <c r="AR231" s="1189"/>
      <c r="AS231" s="1189"/>
      <c r="AT231" s="1189"/>
      <c r="AU231" s="1189"/>
      <c r="AV231" s="1189"/>
      <c r="AW231" s="1189"/>
      <c r="AX231" s="1189"/>
      <c r="AY231" s="1189"/>
      <c r="AZ231" s="1189"/>
      <c r="BA231" s="1189"/>
      <c r="BB231" s="1189"/>
      <c r="BC231" s="1189"/>
      <c r="BD231" s="1193"/>
      <c r="BE231" s="1193"/>
    </row>
    <row r="232" spans="1:57" ht="15.75" customHeight="1">
      <c r="A232" s="1189"/>
      <c r="B232" s="1233"/>
      <c r="C232" s="1189"/>
      <c r="D232" s="1189"/>
      <c r="E232" s="1189"/>
      <c r="F232" s="1189"/>
      <c r="G232" s="1189"/>
      <c r="H232" s="1898" t="s">
        <v>2289</v>
      </c>
      <c r="I232" s="1898"/>
      <c r="J232" s="1898"/>
      <c r="K232" s="1898"/>
      <c r="L232" s="1898"/>
      <c r="M232" s="1898"/>
      <c r="N232" s="1898"/>
      <c r="O232" s="1898"/>
      <c r="P232" s="1898"/>
      <c r="Q232" s="1898"/>
      <c r="R232" s="1898"/>
      <c r="S232" s="1898"/>
      <c r="T232" s="1898"/>
      <c r="U232" s="1898"/>
      <c r="V232" s="1898"/>
      <c r="W232" s="1898"/>
      <c r="X232" s="1898"/>
      <c r="Y232" s="1898"/>
      <c r="Z232" s="1898"/>
      <c r="AA232" s="1898"/>
      <c r="AB232" s="1898"/>
      <c r="AC232" s="1898"/>
      <c r="AD232" s="1898"/>
      <c r="AE232" s="1898"/>
      <c r="AF232" s="1898"/>
      <c r="AG232" s="1898"/>
      <c r="AH232" s="1898"/>
      <c r="AI232" s="1898"/>
      <c r="AJ232" s="1898"/>
      <c r="AK232" s="1898"/>
      <c r="AL232" s="1898"/>
      <c r="AM232" s="1898"/>
      <c r="AN232" s="1898"/>
      <c r="AO232" s="1898"/>
      <c r="AP232" s="1898"/>
      <c r="AQ232" s="1898"/>
      <c r="AR232" s="1898"/>
      <c r="AS232" s="1898"/>
      <c r="AT232" s="1898"/>
      <c r="AU232" s="1898"/>
      <c r="AV232" s="1898"/>
      <c r="AW232" s="1898"/>
      <c r="AX232" s="1898"/>
      <c r="AY232" s="1898"/>
      <c r="AZ232" s="1898"/>
      <c r="BA232" s="1189"/>
      <c r="BB232" s="1189"/>
      <c r="BC232" s="1189"/>
      <c r="BD232" s="1193"/>
      <c r="BE232" s="1193"/>
    </row>
    <row r="233" spans="1:57" ht="15.75" customHeight="1">
      <c r="A233" s="1189"/>
      <c r="B233" s="1188"/>
      <c r="C233" s="1189"/>
      <c r="D233" s="1189"/>
      <c r="E233" s="1189"/>
      <c r="F233" s="1189"/>
      <c r="G233" s="1189"/>
      <c r="H233" s="1898"/>
      <c r="I233" s="1898"/>
      <c r="J233" s="1898"/>
      <c r="K233" s="1898"/>
      <c r="L233" s="1898"/>
      <c r="M233" s="1898"/>
      <c r="N233" s="1898"/>
      <c r="O233" s="1898"/>
      <c r="P233" s="1898"/>
      <c r="Q233" s="1898"/>
      <c r="R233" s="1898"/>
      <c r="S233" s="1898"/>
      <c r="T233" s="1898"/>
      <c r="U233" s="1898"/>
      <c r="V233" s="1898"/>
      <c r="W233" s="1898"/>
      <c r="X233" s="1898"/>
      <c r="Y233" s="1898"/>
      <c r="Z233" s="1898"/>
      <c r="AA233" s="1898"/>
      <c r="AB233" s="1898"/>
      <c r="AC233" s="1898"/>
      <c r="AD233" s="1898"/>
      <c r="AE233" s="1898"/>
      <c r="AF233" s="1898"/>
      <c r="AG233" s="1898"/>
      <c r="AH233" s="1898"/>
      <c r="AI233" s="1898"/>
      <c r="AJ233" s="1898"/>
      <c r="AK233" s="1898"/>
      <c r="AL233" s="1898"/>
      <c r="AM233" s="1898"/>
      <c r="AN233" s="1898"/>
      <c r="AO233" s="1898"/>
      <c r="AP233" s="1898"/>
      <c r="AQ233" s="1898"/>
      <c r="AR233" s="1898"/>
      <c r="AS233" s="1898"/>
      <c r="AT233" s="1898"/>
      <c r="AU233" s="1898"/>
      <c r="AV233" s="1898"/>
      <c r="AW233" s="1898"/>
      <c r="AX233" s="1898"/>
      <c r="AY233" s="1898"/>
      <c r="AZ233" s="1898"/>
      <c r="BA233" s="1189"/>
      <c r="BB233" s="1189"/>
      <c r="BC233" s="1189"/>
      <c r="BD233" s="1193"/>
      <c r="BE233" s="1193"/>
    </row>
    <row r="234" spans="1:57" ht="15.75" customHeight="1">
      <c r="A234" s="1189"/>
      <c r="B234" s="1188"/>
      <c r="C234" s="1189"/>
      <c r="D234" s="1189"/>
      <c r="E234" s="1189"/>
      <c r="F234" s="1189"/>
      <c r="G234" s="1189"/>
      <c r="H234" s="1898"/>
      <c r="I234" s="1898"/>
      <c r="J234" s="1898"/>
      <c r="K234" s="1898"/>
      <c r="L234" s="1898"/>
      <c r="M234" s="1898"/>
      <c r="N234" s="1898"/>
      <c r="O234" s="1898"/>
      <c r="P234" s="1898"/>
      <c r="Q234" s="1898"/>
      <c r="R234" s="1898"/>
      <c r="S234" s="1898"/>
      <c r="T234" s="1898"/>
      <c r="U234" s="1898"/>
      <c r="V234" s="1898"/>
      <c r="W234" s="1898"/>
      <c r="X234" s="1898"/>
      <c r="Y234" s="1898"/>
      <c r="Z234" s="1898"/>
      <c r="AA234" s="1898"/>
      <c r="AB234" s="1898"/>
      <c r="AC234" s="1898"/>
      <c r="AD234" s="1898"/>
      <c r="AE234" s="1898"/>
      <c r="AF234" s="1898"/>
      <c r="AG234" s="1898"/>
      <c r="AH234" s="1898"/>
      <c r="AI234" s="1898"/>
      <c r="AJ234" s="1898"/>
      <c r="AK234" s="1898"/>
      <c r="AL234" s="1898"/>
      <c r="AM234" s="1898"/>
      <c r="AN234" s="1898"/>
      <c r="AO234" s="1898"/>
      <c r="AP234" s="1898"/>
      <c r="AQ234" s="1898"/>
      <c r="AR234" s="1898"/>
      <c r="AS234" s="1898"/>
      <c r="AT234" s="1898"/>
      <c r="AU234" s="1898"/>
      <c r="AV234" s="1898"/>
      <c r="AW234" s="1898"/>
      <c r="AX234" s="1898"/>
      <c r="AY234" s="1898"/>
      <c r="AZ234" s="1898"/>
      <c r="BA234" s="1189"/>
      <c r="BB234" s="1189"/>
      <c r="BC234" s="1189"/>
      <c r="BD234" s="1193"/>
      <c r="BE234" s="1193"/>
    </row>
    <row r="235" spans="1:57" ht="15.75" customHeight="1">
      <c r="A235" s="1189"/>
      <c r="B235" s="1188"/>
      <c r="C235" s="1189"/>
      <c r="D235" s="1189"/>
      <c r="E235" s="1189"/>
      <c r="F235" s="1189"/>
      <c r="G235" s="1189"/>
      <c r="H235" s="1898"/>
      <c r="I235" s="1898"/>
      <c r="J235" s="1898"/>
      <c r="K235" s="1898"/>
      <c r="L235" s="1898"/>
      <c r="M235" s="1898"/>
      <c r="N235" s="1898"/>
      <c r="O235" s="1898"/>
      <c r="P235" s="1898"/>
      <c r="Q235" s="1898"/>
      <c r="R235" s="1898"/>
      <c r="S235" s="1898"/>
      <c r="T235" s="1898"/>
      <c r="U235" s="1898"/>
      <c r="V235" s="1898"/>
      <c r="W235" s="1898"/>
      <c r="X235" s="1898"/>
      <c r="Y235" s="1898"/>
      <c r="Z235" s="1898"/>
      <c r="AA235" s="1898"/>
      <c r="AB235" s="1898"/>
      <c r="AC235" s="1898"/>
      <c r="AD235" s="1898"/>
      <c r="AE235" s="1898"/>
      <c r="AF235" s="1898"/>
      <c r="AG235" s="1898"/>
      <c r="AH235" s="1898"/>
      <c r="AI235" s="1898"/>
      <c r="AJ235" s="1898"/>
      <c r="AK235" s="1898"/>
      <c r="AL235" s="1898"/>
      <c r="AM235" s="1898"/>
      <c r="AN235" s="1898"/>
      <c r="AO235" s="1898"/>
      <c r="AP235" s="1898"/>
      <c r="AQ235" s="1898"/>
      <c r="AR235" s="1898"/>
      <c r="AS235" s="1898"/>
      <c r="AT235" s="1898"/>
      <c r="AU235" s="1898"/>
      <c r="AV235" s="1898"/>
      <c r="AW235" s="1898"/>
      <c r="AX235" s="1898"/>
      <c r="AY235" s="1898"/>
      <c r="AZ235" s="1898"/>
      <c r="BA235" s="1189"/>
      <c r="BB235" s="1189"/>
      <c r="BC235" s="1189"/>
      <c r="BD235" s="1193"/>
      <c r="BE235" s="1193"/>
    </row>
    <row r="236" spans="1:57" ht="15.75" customHeight="1">
      <c r="A236" s="1189"/>
      <c r="B236" s="1188"/>
      <c r="C236" s="1189"/>
      <c r="D236" s="1189"/>
      <c r="E236" s="1189"/>
      <c r="F236" s="1189"/>
      <c r="G236" s="1189"/>
      <c r="H236" s="1189"/>
      <c r="I236" s="1189"/>
      <c r="J236" s="1189"/>
      <c r="K236" s="1189"/>
      <c r="L236" s="1189"/>
      <c r="M236" s="1189"/>
      <c r="N236" s="1189"/>
      <c r="O236" s="1189"/>
      <c r="P236" s="1189"/>
      <c r="Q236" s="1189"/>
      <c r="R236" s="1189"/>
      <c r="S236" s="1189"/>
      <c r="T236" s="1189"/>
      <c r="U236" s="1189"/>
      <c r="V236" s="1189"/>
      <c r="W236" s="1189"/>
      <c r="X236" s="1189"/>
      <c r="Y236" s="1189"/>
      <c r="Z236" s="1189"/>
      <c r="AA236" s="1189"/>
      <c r="AB236" s="1189"/>
      <c r="AC236" s="1189"/>
      <c r="AD236" s="1189"/>
      <c r="AE236" s="1189"/>
      <c r="AF236" s="1189"/>
      <c r="AG236" s="1189"/>
      <c r="AH236" s="1189"/>
      <c r="AI236" s="1189"/>
      <c r="AJ236" s="1189"/>
      <c r="AK236" s="1189"/>
      <c r="AL236" s="1189"/>
      <c r="AM236" s="1189"/>
      <c r="AN236" s="1189"/>
      <c r="AO236" s="1189"/>
      <c r="AP236" s="1189"/>
      <c r="AQ236" s="1189"/>
      <c r="AR236" s="1189"/>
      <c r="AS236" s="1189"/>
      <c r="AT236" s="1189"/>
      <c r="AU236" s="1189"/>
      <c r="AV236" s="1189"/>
      <c r="AW236" s="1189"/>
      <c r="AX236" s="1189"/>
      <c r="AY236" s="1189"/>
      <c r="AZ236" s="1189"/>
      <c r="BA236" s="1189"/>
      <c r="BB236" s="1189"/>
      <c r="BC236" s="1189"/>
      <c r="BD236" s="1193"/>
      <c r="BE236" s="1193"/>
    </row>
    <row r="237" spans="1:57" ht="15.75" customHeight="1" thickBot="1">
      <c r="A237" s="1189"/>
      <c r="B237" s="1234"/>
      <c r="C237" s="1235"/>
      <c r="D237" s="1235"/>
      <c r="E237" s="1235"/>
      <c r="F237" s="1235"/>
      <c r="G237" s="1235"/>
      <c r="H237" s="1899" t="s">
        <v>2288</v>
      </c>
      <c r="I237" s="1899"/>
      <c r="J237" s="1899"/>
      <c r="K237" s="1899"/>
      <c r="L237" s="1899"/>
      <c r="M237" s="1899"/>
      <c r="N237" s="1899"/>
      <c r="O237" s="1899"/>
      <c r="P237" s="1899"/>
      <c r="Q237" s="1899"/>
      <c r="R237" s="1899"/>
      <c r="S237" s="1899"/>
      <c r="T237" s="1899"/>
      <c r="U237" s="1899"/>
      <c r="V237" s="1899"/>
      <c r="W237" s="1899"/>
      <c r="X237" s="1899"/>
      <c r="Y237" s="1899"/>
      <c r="Z237" s="1899"/>
      <c r="AA237" s="1899"/>
      <c r="AB237" s="1899"/>
      <c r="AC237" s="1899"/>
      <c r="AD237" s="1899"/>
      <c r="AE237" s="1899"/>
      <c r="AF237" s="1899"/>
      <c r="AG237" s="1899"/>
      <c r="AH237" s="1899"/>
      <c r="AI237" s="1899"/>
      <c r="AJ237" s="1899"/>
      <c r="AK237" s="1899"/>
      <c r="AL237" s="1899"/>
      <c r="AM237" s="1899"/>
      <c r="AN237" s="1899"/>
      <c r="AO237" s="1899"/>
      <c r="AP237" s="1899"/>
      <c r="AQ237" s="1899"/>
      <c r="AR237" s="1899"/>
      <c r="AS237" s="1899"/>
      <c r="AT237" s="1899"/>
      <c r="AU237" s="1899"/>
      <c r="AV237" s="1899"/>
      <c r="AW237" s="1235"/>
      <c r="AX237" s="1235"/>
      <c r="AY237" s="1235"/>
      <c r="AZ237" s="1235"/>
      <c r="BA237" s="1235"/>
      <c r="BB237" s="1235"/>
      <c r="BC237" s="1235"/>
      <c r="BD237" s="1236"/>
      <c r="BE237" s="1193"/>
    </row>
    <row r="238" spans="1:57" ht="15.75" customHeight="1" thickBot="1">
      <c r="A238" s="1189"/>
      <c r="B238" s="1237"/>
      <c r="C238" s="1238"/>
      <c r="D238" s="1238"/>
      <c r="E238" s="1238"/>
      <c r="F238" s="1238"/>
      <c r="G238" s="1238"/>
      <c r="H238" s="1238"/>
      <c r="I238" s="1238"/>
      <c r="J238" s="1238"/>
      <c r="K238" s="1238"/>
      <c r="L238" s="1238"/>
      <c r="M238" s="1238"/>
      <c r="N238" s="1238"/>
      <c r="O238" s="1238"/>
      <c r="P238" s="1238"/>
      <c r="Q238" s="1238"/>
      <c r="R238" s="1238"/>
      <c r="S238" s="1238"/>
      <c r="T238" s="1238"/>
      <c r="U238" s="1238"/>
      <c r="V238" s="1238"/>
      <c r="W238" s="1238"/>
      <c r="X238" s="1238"/>
      <c r="Y238" s="1238"/>
      <c r="Z238" s="1238"/>
      <c r="AA238" s="1238"/>
      <c r="AB238" s="1238"/>
      <c r="AC238" s="1238"/>
      <c r="AD238" s="1238"/>
      <c r="AE238" s="1238"/>
      <c r="AF238" s="1238"/>
      <c r="AG238" s="1238"/>
      <c r="AH238" s="1238"/>
      <c r="AI238" s="1238"/>
      <c r="AJ238" s="1238"/>
      <c r="AK238" s="1238"/>
      <c r="AL238" s="1238"/>
      <c r="AM238" s="1238"/>
      <c r="AN238" s="1238"/>
      <c r="AO238" s="1238"/>
      <c r="AP238" s="1238"/>
      <c r="AQ238" s="1238"/>
      <c r="AR238" s="1238"/>
      <c r="AS238" s="1238"/>
      <c r="AT238" s="1238"/>
      <c r="AU238" s="1238"/>
      <c r="AV238" s="1238"/>
      <c r="AW238" s="1238"/>
      <c r="AX238" s="1238"/>
      <c r="AY238" s="1238"/>
      <c r="AZ238" s="1238"/>
      <c r="BA238" s="1238"/>
      <c r="BB238" s="1238"/>
      <c r="BC238" s="1238"/>
      <c r="BD238" s="1239"/>
      <c r="BE238" s="1193"/>
    </row>
    <row r="239" spans="1:57" ht="30" customHeight="1" thickBot="1">
      <c r="A239" s="1189"/>
      <c r="B239" s="1237"/>
      <c r="C239" s="1238"/>
      <c r="D239" s="1238"/>
      <c r="E239" s="1238"/>
      <c r="F239" s="1238"/>
      <c r="G239" s="1238"/>
      <c r="H239" s="1889" t="s">
        <v>2287</v>
      </c>
      <c r="I239" s="1889"/>
      <c r="J239" s="1889"/>
      <c r="K239" s="1889"/>
      <c r="L239" s="1238"/>
      <c r="M239" s="1238"/>
      <c r="N239" s="1238"/>
      <c r="O239" s="1238"/>
      <c r="P239" s="1238"/>
      <c r="Q239" s="1238"/>
      <c r="R239" s="1238"/>
      <c r="S239" s="1900"/>
      <c r="T239" s="1901"/>
      <c r="U239" s="1901"/>
      <c r="V239" s="1901"/>
      <c r="W239" s="1901"/>
      <c r="X239" s="1901"/>
      <c r="Y239" s="1901"/>
      <c r="Z239" s="1901"/>
      <c r="AA239" s="1901"/>
      <c r="AB239" s="1901"/>
      <c r="AC239" s="1901"/>
      <c r="AD239" s="1901"/>
      <c r="AE239" s="1901"/>
      <c r="AF239" s="1901"/>
      <c r="AG239" s="1901"/>
      <c r="AH239" s="1901"/>
      <c r="AI239" s="1901"/>
      <c r="AJ239" s="1902"/>
      <c r="AK239" s="1238"/>
      <c r="AL239" s="1238"/>
      <c r="AM239" s="1238"/>
      <c r="AN239" s="1238"/>
      <c r="AO239" s="1238"/>
      <c r="AP239" s="1238"/>
      <c r="AQ239" s="1238"/>
      <c r="AR239" s="1238"/>
      <c r="AS239" s="1238"/>
      <c r="AT239" s="1238"/>
      <c r="AU239" s="1238"/>
      <c r="AV239" s="1238"/>
      <c r="AW239" s="1238"/>
      <c r="AX239" s="1238"/>
      <c r="AY239" s="1238"/>
      <c r="AZ239" s="1238"/>
      <c r="BA239" s="1238"/>
      <c r="BB239" s="1238"/>
      <c r="BC239" s="1238"/>
      <c r="BD239" s="1239"/>
      <c r="BE239" s="1193"/>
    </row>
    <row r="240" spans="1:57" ht="15.75" customHeight="1" thickBot="1">
      <c r="A240" s="1189"/>
      <c r="B240" s="1237"/>
      <c r="C240" s="1238"/>
      <c r="D240" s="1238"/>
      <c r="E240" s="1238"/>
      <c r="F240" s="1238"/>
      <c r="G240" s="1238"/>
      <c r="H240" s="1240"/>
      <c r="I240" s="1240"/>
      <c r="J240" s="1240"/>
      <c r="K240" s="1240"/>
      <c r="L240" s="1238"/>
      <c r="M240" s="1238"/>
      <c r="N240" s="1238"/>
      <c r="O240" s="1238"/>
      <c r="P240" s="1238"/>
      <c r="Q240" s="1238"/>
      <c r="R240" s="1238"/>
      <c r="S240" s="1238"/>
      <c r="T240" s="1238"/>
      <c r="U240" s="1238"/>
      <c r="V240" s="1238"/>
      <c r="W240" s="1238"/>
      <c r="X240" s="1238"/>
      <c r="Y240" s="1238"/>
      <c r="Z240" s="1238"/>
      <c r="AA240" s="1238"/>
      <c r="AB240" s="1238"/>
      <c r="AC240" s="1238"/>
      <c r="AD240" s="1238"/>
      <c r="AE240" s="1238"/>
      <c r="AF240" s="1238"/>
      <c r="AG240" s="1238"/>
      <c r="AH240" s="1238"/>
      <c r="AI240" s="1238"/>
      <c r="AJ240" s="1238"/>
      <c r="AK240" s="1238"/>
      <c r="AL240" s="1238"/>
      <c r="AM240" s="1238"/>
      <c r="AN240" s="1238"/>
      <c r="AO240" s="1238"/>
      <c r="AP240" s="1238"/>
      <c r="AQ240" s="1238"/>
      <c r="AR240" s="1238"/>
      <c r="AS240" s="1238"/>
      <c r="AT240" s="1238"/>
      <c r="AU240" s="1238"/>
      <c r="AV240" s="1238"/>
      <c r="AW240" s="1238"/>
      <c r="AX240" s="1238"/>
      <c r="AY240" s="1238"/>
      <c r="AZ240" s="1238"/>
      <c r="BA240" s="1238"/>
      <c r="BB240" s="1238"/>
      <c r="BC240" s="1238"/>
      <c r="BD240" s="1239"/>
      <c r="BE240" s="1193"/>
    </row>
    <row r="241" spans="1:57" ht="15.75" customHeight="1" thickBot="1">
      <c r="A241" s="1189"/>
      <c r="B241" s="1237"/>
      <c r="C241" s="1238"/>
      <c r="D241" s="1238"/>
      <c r="E241" s="1238"/>
      <c r="F241" s="1238"/>
      <c r="G241" s="1238"/>
      <c r="H241" s="1889" t="s">
        <v>2286</v>
      </c>
      <c r="I241" s="1889"/>
      <c r="J241" s="1889"/>
      <c r="K241" s="1240"/>
      <c r="L241" s="1238"/>
      <c r="M241" s="1238"/>
      <c r="N241" s="1238"/>
      <c r="O241" s="1238"/>
      <c r="P241" s="1238"/>
      <c r="Q241" s="1238"/>
      <c r="R241" s="1238"/>
      <c r="S241" s="1890"/>
      <c r="T241" s="1891"/>
      <c r="U241" s="1891"/>
      <c r="V241" s="1891"/>
      <c r="W241" s="1891"/>
      <c r="X241" s="1891"/>
      <c r="Y241" s="1891"/>
      <c r="Z241" s="1891"/>
      <c r="AA241" s="1891"/>
      <c r="AB241" s="1891"/>
      <c r="AC241" s="1891"/>
      <c r="AD241" s="1891"/>
      <c r="AE241" s="1891"/>
      <c r="AF241" s="1891"/>
      <c r="AG241" s="1891"/>
      <c r="AH241" s="1891"/>
      <c r="AI241" s="1891"/>
      <c r="AJ241" s="1892"/>
      <c r="AK241" s="1238"/>
      <c r="AL241" s="1238"/>
      <c r="AM241" s="1238"/>
      <c r="AN241" s="1238"/>
      <c r="AO241" s="1238"/>
      <c r="AP241" s="1238"/>
      <c r="AQ241" s="1238"/>
      <c r="AR241" s="1238"/>
      <c r="AS241" s="1238"/>
      <c r="AT241" s="1238"/>
      <c r="AU241" s="1238"/>
      <c r="AV241" s="1238"/>
      <c r="AW241" s="1238"/>
      <c r="AX241" s="1238"/>
      <c r="AY241" s="1238"/>
      <c r="AZ241" s="1238"/>
      <c r="BA241" s="1238"/>
      <c r="BB241" s="1238"/>
      <c r="BC241" s="1238"/>
      <c r="BD241" s="1239"/>
      <c r="BE241" s="1193"/>
    </row>
    <row r="242" spans="1:57" ht="15.75" customHeight="1" thickBot="1">
      <c r="A242" s="1189"/>
      <c r="B242" s="1237"/>
      <c r="C242" s="1238"/>
      <c r="D242" s="1238"/>
      <c r="E242" s="1238"/>
      <c r="F242" s="1238"/>
      <c r="G242" s="1238"/>
      <c r="H242" s="1240"/>
      <c r="I242" s="1240"/>
      <c r="J242" s="1240"/>
      <c r="K242" s="1240"/>
      <c r="L242" s="1238"/>
      <c r="M242" s="1238"/>
      <c r="N242" s="1238"/>
      <c r="O242" s="1238"/>
      <c r="P242" s="1238"/>
      <c r="Q242" s="1238"/>
      <c r="R242" s="1238"/>
      <c r="S242" s="1238"/>
      <c r="T242" s="1238"/>
      <c r="U242" s="1238"/>
      <c r="V242" s="1238"/>
      <c r="W242" s="1238"/>
      <c r="X242" s="1238"/>
      <c r="Y242" s="1238"/>
      <c r="Z242" s="1238"/>
      <c r="AA242" s="1238"/>
      <c r="AB242" s="1238"/>
      <c r="AC242" s="1238"/>
      <c r="AD242" s="1238"/>
      <c r="AE242" s="1238"/>
      <c r="AF242" s="1238"/>
      <c r="AG242" s="1238"/>
      <c r="AH242" s="1238"/>
      <c r="AI242" s="1238"/>
      <c r="AJ242" s="1238"/>
      <c r="AK242" s="1238"/>
      <c r="AL242" s="1238"/>
      <c r="AM242" s="1238"/>
      <c r="AN242" s="1238"/>
      <c r="AO242" s="1238"/>
      <c r="AP242" s="1238"/>
      <c r="AQ242" s="1238"/>
      <c r="AR242" s="1238"/>
      <c r="AS242" s="1238"/>
      <c r="AT242" s="1238"/>
      <c r="AU242" s="1238"/>
      <c r="AV242" s="1238"/>
      <c r="AW242" s="1238"/>
      <c r="AX242" s="1238"/>
      <c r="AY242" s="1238"/>
      <c r="AZ242" s="1238"/>
      <c r="BA242" s="1238"/>
      <c r="BB242" s="1238"/>
      <c r="BC242" s="1238"/>
      <c r="BD242" s="1239"/>
      <c r="BE242" s="1193"/>
    </row>
    <row r="243" spans="1:57" ht="15.75" customHeight="1" thickBot="1">
      <c r="A243" s="1189"/>
      <c r="B243" s="1237"/>
      <c r="C243" s="1238"/>
      <c r="D243" s="1238"/>
      <c r="E243" s="1238"/>
      <c r="F243" s="1238"/>
      <c r="G243" s="1238"/>
      <c r="H243" s="1889" t="s">
        <v>442</v>
      </c>
      <c r="I243" s="1889"/>
      <c r="J243" s="1240"/>
      <c r="K243" s="1240"/>
      <c r="L243" s="1238"/>
      <c r="M243" s="1238"/>
      <c r="N243" s="1238"/>
      <c r="O243" s="1238"/>
      <c r="P243" s="1238"/>
      <c r="Q243" s="1238"/>
      <c r="R243" s="1238"/>
      <c r="S243" s="1890"/>
      <c r="T243" s="1891"/>
      <c r="U243" s="1891"/>
      <c r="V243" s="1891"/>
      <c r="W243" s="1891"/>
      <c r="X243" s="1891"/>
      <c r="Y243" s="1891"/>
      <c r="Z243" s="1891"/>
      <c r="AA243" s="1891"/>
      <c r="AB243" s="1891"/>
      <c r="AC243" s="1891"/>
      <c r="AD243" s="1891"/>
      <c r="AE243" s="1891"/>
      <c r="AF243" s="1891"/>
      <c r="AG243" s="1891"/>
      <c r="AH243" s="1891"/>
      <c r="AI243" s="1891"/>
      <c r="AJ243" s="1892"/>
      <c r="AK243" s="1238"/>
      <c r="AL243" s="1238"/>
      <c r="AM243" s="1238"/>
      <c r="AN243" s="1238"/>
      <c r="AO243" s="1238"/>
      <c r="AP243" s="1238"/>
      <c r="AQ243" s="1238"/>
      <c r="AR243" s="1238"/>
      <c r="AS243" s="1238"/>
      <c r="AT243" s="1238"/>
      <c r="AU243" s="1238"/>
      <c r="AV243" s="1238"/>
      <c r="AW243" s="1238"/>
      <c r="AX243" s="1238"/>
      <c r="AY243" s="1238"/>
      <c r="AZ243" s="1238"/>
      <c r="BA243" s="1238"/>
      <c r="BB243" s="1238"/>
      <c r="BC243" s="1238"/>
      <c r="BD243" s="1239"/>
      <c r="BE243" s="1193"/>
    </row>
    <row r="244" spans="1:57" ht="15.75" customHeight="1" thickBot="1">
      <c r="A244" s="1189"/>
      <c r="B244" s="1237"/>
      <c r="C244" s="1238"/>
      <c r="D244" s="1238"/>
      <c r="E244" s="1238"/>
      <c r="F244" s="1238"/>
      <c r="G244" s="1238"/>
      <c r="H244" s="1238"/>
      <c r="I244" s="1238"/>
      <c r="J244" s="1238"/>
      <c r="K244" s="1238"/>
      <c r="L244" s="1238"/>
      <c r="M244" s="1238"/>
      <c r="N244" s="1238"/>
      <c r="O244" s="1238"/>
      <c r="P244" s="1238"/>
      <c r="Q244" s="1238"/>
      <c r="R244" s="1238"/>
      <c r="S244" s="1238"/>
      <c r="T244" s="1238"/>
      <c r="U244" s="1238"/>
      <c r="V244" s="1238"/>
      <c r="W244" s="1238"/>
      <c r="X244" s="1238"/>
      <c r="Y244" s="1238"/>
      <c r="Z244" s="1238"/>
      <c r="AA244" s="1238"/>
      <c r="AB244" s="1238"/>
      <c r="AC244" s="1238"/>
      <c r="AD244" s="1238"/>
      <c r="AE244" s="1238"/>
      <c r="AF244" s="1238"/>
      <c r="AG244" s="1238"/>
      <c r="AH244" s="1238"/>
      <c r="AI244" s="1238"/>
      <c r="AJ244" s="1238"/>
      <c r="AK244" s="1238"/>
      <c r="AL244" s="1238"/>
      <c r="AM244" s="1238"/>
      <c r="AN244" s="1238"/>
      <c r="AO244" s="1238"/>
      <c r="AP244" s="1238"/>
      <c r="AQ244" s="1238"/>
      <c r="AR244" s="1238"/>
      <c r="AS244" s="1238"/>
      <c r="AT244" s="1238"/>
      <c r="AU244" s="1238"/>
      <c r="AV244" s="1238"/>
      <c r="AW244" s="1238"/>
      <c r="AX244" s="1238"/>
      <c r="AY244" s="1238"/>
      <c r="AZ244" s="1238"/>
      <c r="BA244" s="1238"/>
      <c r="BB244" s="1238"/>
      <c r="BC244" s="1238"/>
      <c r="BD244" s="1239"/>
      <c r="BE244" s="1193"/>
    </row>
    <row r="245" spans="1:57" ht="15.75" customHeight="1" thickBot="1">
      <c r="A245" s="1189"/>
      <c r="B245" s="1237"/>
      <c r="C245" s="1238"/>
      <c r="D245" s="1238"/>
      <c r="E245" s="1238"/>
      <c r="F245" s="1238"/>
      <c r="G245" s="1238"/>
      <c r="H245" s="1893" t="s">
        <v>2285</v>
      </c>
      <c r="I245" s="1893"/>
      <c r="J245" s="1893"/>
      <c r="K245" s="1893"/>
      <c r="L245" s="1893"/>
      <c r="M245" s="1893"/>
      <c r="N245" s="1893"/>
      <c r="O245" s="1893"/>
      <c r="P245" s="1238"/>
      <c r="Q245" s="1238"/>
      <c r="R245" s="1238"/>
      <c r="S245" s="1890"/>
      <c r="T245" s="1891"/>
      <c r="U245" s="1891"/>
      <c r="V245" s="1891"/>
      <c r="W245" s="1891"/>
      <c r="X245" s="1891"/>
      <c r="Y245" s="1891"/>
      <c r="Z245" s="1891"/>
      <c r="AA245" s="1891"/>
      <c r="AB245" s="1891"/>
      <c r="AC245" s="1891"/>
      <c r="AD245" s="1891"/>
      <c r="AE245" s="1891"/>
      <c r="AF245" s="1891"/>
      <c r="AG245" s="1891"/>
      <c r="AH245" s="1891"/>
      <c r="AI245" s="1891"/>
      <c r="AJ245" s="1892"/>
      <c r="AK245" s="1238"/>
      <c r="AL245" s="1238"/>
      <c r="AM245" s="1238"/>
      <c r="AN245" s="1238"/>
      <c r="AO245" s="1238"/>
      <c r="AP245" s="1238"/>
      <c r="AQ245" s="1238"/>
      <c r="AR245" s="1238"/>
      <c r="AS245" s="1238"/>
      <c r="AT245" s="1238"/>
      <c r="AU245" s="1238"/>
      <c r="AV245" s="1238"/>
      <c r="AW245" s="1238"/>
      <c r="AX245" s="1238"/>
      <c r="AY245" s="1238"/>
      <c r="AZ245" s="1238"/>
      <c r="BA245" s="1238"/>
      <c r="BB245" s="1238"/>
      <c r="BC245" s="1238"/>
      <c r="BD245" s="1239"/>
      <c r="BE245" s="1193"/>
    </row>
    <row r="246" spans="1:57" ht="15.75" customHeight="1" thickBot="1">
      <c r="A246" s="1189"/>
      <c r="B246" s="1237"/>
      <c r="C246" s="1238"/>
      <c r="D246" s="1238"/>
      <c r="E246" s="1238"/>
      <c r="F246" s="1238"/>
      <c r="G246" s="1238"/>
      <c r="H246" s="1238"/>
      <c r="I246" s="1238"/>
      <c r="J246" s="1238"/>
      <c r="K246" s="1238"/>
      <c r="L246" s="1238"/>
      <c r="M246" s="1238"/>
      <c r="N246" s="1238"/>
      <c r="O246" s="1238"/>
      <c r="P246" s="1238"/>
      <c r="Q246" s="1238"/>
      <c r="R246" s="1238"/>
      <c r="S246" s="1238"/>
      <c r="T246" s="1238"/>
      <c r="U246" s="1238"/>
      <c r="V246" s="1238"/>
      <c r="W246" s="1238"/>
      <c r="X246" s="1238"/>
      <c r="Y246" s="1238"/>
      <c r="Z246" s="1238"/>
      <c r="AA246" s="1238"/>
      <c r="AB246" s="1238"/>
      <c r="AC246" s="1238"/>
      <c r="AD246" s="1238"/>
      <c r="AE246" s="1238"/>
      <c r="AF246" s="1238"/>
      <c r="AG246" s="1238"/>
      <c r="AH246" s="1238"/>
      <c r="AI246" s="1238"/>
      <c r="AJ246" s="1238"/>
      <c r="AK246" s="1238"/>
      <c r="AL246" s="1238"/>
      <c r="AM246" s="1238"/>
      <c r="AN246" s="1238"/>
      <c r="AO246" s="1238"/>
      <c r="AP246" s="1238"/>
      <c r="AQ246" s="1238"/>
      <c r="AR246" s="1238"/>
      <c r="AS246" s="1238"/>
      <c r="AT246" s="1238"/>
      <c r="AU246" s="1238"/>
      <c r="AV246" s="1238"/>
      <c r="AW246" s="1238"/>
      <c r="AX246" s="1238"/>
      <c r="AY246" s="1238"/>
      <c r="AZ246" s="1238"/>
      <c r="BA246" s="1238"/>
      <c r="BB246" s="1238"/>
      <c r="BC246" s="1238"/>
      <c r="BD246" s="1239"/>
      <c r="BE246" s="1193"/>
    </row>
    <row r="247" spans="1:57" ht="15.75" customHeight="1" thickBot="1">
      <c r="A247" s="1189"/>
      <c r="B247" s="1237"/>
      <c r="C247" s="1238"/>
      <c r="D247" s="1238"/>
      <c r="E247" s="1238"/>
      <c r="F247" s="1238"/>
      <c r="G247" s="1238"/>
      <c r="H247" s="1894" t="s">
        <v>2284</v>
      </c>
      <c r="I247" s="1894"/>
      <c r="J247" s="1238"/>
      <c r="K247" s="1238"/>
      <c r="L247" s="1238"/>
      <c r="M247" s="1238"/>
      <c r="N247" s="1238"/>
      <c r="O247" s="1238"/>
      <c r="P247" s="1238"/>
      <c r="Q247" s="1238"/>
      <c r="R247" s="1238"/>
      <c r="S247" s="1895"/>
      <c r="T247" s="1896"/>
      <c r="U247" s="1896"/>
      <c r="V247" s="1896"/>
      <c r="W247" s="1896"/>
      <c r="X247" s="1896"/>
      <c r="Y247" s="1896"/>
      <c r="Z247" s="1896"/>
      <c r="AA247" s="1896"/>
      <c r="AB247" s="1896"/>
      <c r="AC247" s="1896"/>
      <c r="AD247" s="1896"/>
      <c r="AE247" s="1896"/>
      <c r="AF247" s="1896"/>
      <c r="AG247" s="1896"/>
      <c r="AH247" s="1896"/>
      <c r="AI247" s="1896"/>
      <c r="AJ247" s="1897"/>
      <c r="AK247" s="1238"/>
      <c r="AL247" s="1238"/>
      <c r="AM247" s="1238"/>
      <c r="AN247" s="1238"/>
      <c r="AO247" s="1238"/>
      <c r="AP247" s="1238"/>
      <c r="AQ247" s="1238"/>
      <c r="AR247" s="1238"/>
      <c r="AS247" s="1238"/>
      <c r="AT247" s="1238"/>
      <c r="AU247" s="1238"/>
      <c r="AV247" s="1238"/>
      <c r="AW247" s="1238"/>
      <c r="AX247" s="1238"/>
      <c r="AY247" s="1238"/>
      <c r="AZ247" s="1238"/>
      <c r="BA247" s="1238"/>
      <c r="BB247" s="1238"/>
      <c r="BC247" s="1238"/>
      <c r="BD247" s="1239"/>
      <c r="BE247" s="1193"/>
    </row>
    <row r="248" spans="1:57" ht="15.75" customHeight="1" thickBot="1">
      <c r="A248" s="1189"/>
      <c r="B248" s="1241"/>
      <c r="C248" s="1242"/>
      <c r="D248" s="1242"/>
      <c r="E248" s="1242"/>
      <c r="F248" s="1242"/>
      <c r="G248" s="1242"/>
      <c r="H248" s="1242"/>
      <c r="I248" s="1242"/>
      <c r="J248" s="1242"/>
      <c r="K248" s="1242"/>
      <c r="L248" s="1242"/>
      <c r="M248" s="1242"/>
      <c r="N248" s="1242"/>
      <c r="O248" s="1242"/>
      <c r="P248" s="1242"/>
      <c r="Q248" s="1242"/>
      <c r="R248" s="1242"/>
      <c r="S248" s="1242"/>
      <c r="T248" s="1242"/>
      <c r="U248" s="1242"/>
      <c r="V248" s="1242"/>
      <c r="W248" s="1242"/>
      <c r="X248" s="1242"/>
      <c r="Y248" s="1242"/>
      <c r="Z248" s="1242"/>
      <c r="AA248" s="1242"/>
      <c r="AB248" s="1242"/>
      <c r="AC248" s="1242"/>
      <c r="AD248" s="1242"/>
      <c r="AE248" s="1242"/>
      <c r="AF248" s="1242"/>
      <c r="AG248" s="1242"/>
      <c r="AH248" s="1242"/>
      <c r="AI248" s="1242"/>
      <c r="AJ248" s="1242"/>
      <c r="AK248" s="1242"/>
      <c r="AL248" s="1242"/>
      <c r="AM248" s="1242"/>
      <c r="AN248" s="1242"/>
      <c r="AO248" s="1242"/>
      <c r="AP248" s="1242"/>
      <c r="AQ248" s="1242"/>
      <c r="AR248" s="1242"/>
      <c r="AS248" s="1242"/>
      <c r="AT248" s="1242"/>
      <c r="AU248" s="1242"/>
      <c r="AV248" s="1242"/>
      <c r="AW248" s="1242"/>
      <c r="AX248" s="1242"/>
      <c r="AY248" s="1242"/>
      <c r="AZ248" s="1242"/>
      <c r="BA248" s="1242"/>
      <c r="BB248" s="1242"/>
      <c r="BC248" s="1242"/>
      <c r="BD248" s="1243"/>
      <c r="BE248" s="1193"/>
    </row>
    <row r="249" spans="1:57" ht="15.75" customHeight="1" thickBot="1">
      <c r="A249" s="1235"/>
      <c r="B249" s="1235"/>
      <c r="C249" s="1235"/>
      <c r="D249" s="1235"/>
      <c r="E249" s="1235"/>
      <c r="F249" s="1235"/>
      <c r="G249" s="1235"/>
      <c r="H249" s="1235"/>
      <c r="I249" s="1235"/>
      <c r="J249" s="1235"/>
      <c r="K249" s="1235"/>
      <c r="L249" s="1235"/>
      <c r="M249" s="1235"/>
      <c r="N249" s="1235"/>
      <c r="O249" s="1235"/>
      <c r="P249" s="1235"/>
      <c r="Q249" s="1235"/>
      <c r="R249" s="1235"/>
      <c r="S249" s="1235"/>
      <c r="T249" s="1235"/>
      <c r="U249" s="1235"/>
      <c r="V249" s="1235"/>
      <c r="W249" s="1235"/>
      <c r="X249" s="1235"/>
      <c r="Y249" s="1235"/>
      <c r="Z249" s="1235"/>
      <c r="AA249" s="1235"/>
      <c r="AB249" s="1235"/>
      <c r="AC249" s="1235"/>
      <c r="AD249" s="1235"/>
      <c r="AE249" s="1235"/>
      <c r="AF249" s="1235"/>
      <c r="AG249" s="1235"/>
      <c r="AH249" s="1235"/>
      <c r="AI249" s="1235"/>
      <c r="AJ249" s="1235"/>
      <c r="AK249" s="1235"/>
      <c r="AL249" s="1235"/>
      <c r="AM249" s="1235"/>
      <c r="AN249" s="1235"/>
      <c r="AO249" s="1235"/>
      <c r="AP249" s="1235"/>
      <c r="AQ249" s="1235"/>
      <c r="AR249" s="1235"/>
      <c r="AS249" s="1235"/>
      <c r="AT249" s="1235"/>
      <c r="AU249" s="1235"/>
      <c r="AV249" s="1235"/>
      <c r="AW249" s="1235"/>
      <c r="AX249" s="1235"/>
      <c r="AY249" s="1235"/>
      <c r="AZ249" s="1235"/>
      <c r="BA249" s="1235"/>
      <c r="BB249" s="1235"/>
      <c r="BC249" s="1235"/>
      <c r="BD249" s="1235"/>
      <c r="BE249" s="1236"/>
    </row>
    <row r="252" spans="1:57" ht="15.75" customHeight="1">
      <c r="D252" s="1187"/>
    </row>
    <row r="253" spans="1:57" ht="15.75" customHeight="1">
      <c r="D253" s="1244"/>
    </row>
    <row r="254" spans="1:57" ht="15.75" customHeight="1">
      <c r="D254" s="1187"/>
    </row>
    <row r="255" spans="1:57" ht="15.75" customHeight="1">
      <c r="D255" s="1187"/>
    </row>
    <row r="256" spans="1:57" ht="15.75" customHeight="1">
      <c r="R256" s="1186"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37"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N54" sqref="AN54"/>
    </sheetView>
  </sheetViews>
  <sheetFormatPr defaultColWidth="0" defaultRowHeight="12.95" customHeight="1"/>
  <cols>
    <col min="1" max="1" width="1.42578125" style="401" customWidth="1"/>
    <col min="2" max="2" width="0.85546875" style="401" customWidth="1"/>
    <col min="3" max="18" width="2.42578125" style="401" customWidth="1"/>
    <col min="19" max="19" width="6.28515625" style="401" customWidth="1"/>
    <col min="20" max="39" width="2.7109375" style="401" customWidth="1"/>
    <col min="40" max="40" width="1.42578125" style="401" customWidth="1"/>
    <col min="41" max="256" width="2.42578125" style="401" hidden="1"/>
    <col min="257" max="257" width="1.42578125" style="401" hidden="1" customWidth="1"/>
    <col min="258" max="258" width="0.85546875" style="401" hidden="1" customWidth="1"/>
    <col min="259" max="274" width="2.42578125" style="401" hidden="1" customWidth="1"/>
    <col min="275" max="275" width="4" style="401" hidden="1" customWidth="1"/>
    <col min="276" max="295" width="2.42578125" style="401" hidden="1" customWidth="1"/>
    <col min="296" max="296" width="1.42578125" style="401" hidden="1" customWidth="1"/>
    <col min="297" max="512" width="2.42578125" style="401" hidden="1"/>
    <col min="513" max="513" width="1.42578125" style="401" hidden="1" customWidth="1"/>
    <col min="514" max="514" width="0.85546875" style="401" hidden="1" customWidth="1"/>
    <col min="515" max="530" width="2.42578125" style="401" hidden="1" customWidth="1"/>
    <col min="531" max="531" width="4" style="401" hidden="1" customWidth="1"/>
    <col min="532" max="551" width="2.42578125" style="401" hidden="1" customWidth="1"/>
    <col min="552" max="552" width="1.42578125" style="401" hidden="1" customWidth="1"/>
    <col min="553" max="768" width="2.42578125" style="401" hidden="1"/>
    <col min="769" max="769" width="1.42578125" style="401" hidden="1" customWidth="1"/>
    <col min="770" max="770" width="0.85546875" style="401" hidden="1" customWidth="1"/>
    <col min="771" max="786" width="2.42578125" style="401" hidden="1" customWidth="1"/>
    <col min="787" max="787" width="4" style="401" hidden="1" customWidth="1"/>
    <col min="788" max="807" width="2.42578125" style="401" hidden="1" customWidth="1"/>
    <col min="808" max="808" width="1.42578125" style="401" hidden="1" customWidth="1"/>
    <col min="809" max="1024" width="2.42578125" style="401" hidden="1"/>
    <col min="1025" max="1025" width="1.42578125" style="401" hidden="1" customWidth="1"/>
    <col min="1026" max="1026" width="0.85546875" style="401" hidden="1" customWidth="1"/>
    <col min="1027" max="1042" width="2.42578125" style="401" hidden="1" customWidth="1"/>
    <col min="1043" max="1043" width="4" style="401" hidden="1" customWidth="1"/>
    <col min="1044" max="1063" width="2.42578125" style="401" hidden="1" customWidth="1"/>
    <col min="1064" max="1064" width="1.42578125" style="401" hidden="1" customWidth="1"/>
    <col min="1065" max="1280" width="2.42578125" style="401" hidden="1"/>
    <col min="1281" max="1281" width="1.42578125" style="401" hidden="1" customWidth="1"/>
    <col min="1282" max="1282" width="0.85546875" style="401" hidden="1" customWidth="1"/>
    <col min="1283" max="1298" width="2.42578125" style="401" hidden="1" customWidth="1"/>
    <col min="1299" max="1299" width="4" style="401" hidden="1" customWidth="1"/>
    <col min="1300" max="1319" width="2.42578125" style="401" hidden="1" customWidth="1"/>
    <col min="1320" max="1320" width="1.42578125" style="401" hidden="1" customWidth="1"/>
    <col min="1321" max="1536" width="2.42578125" style="401" hidden="1"/>
    <col min="1537" max="1537" width="1.42578125" style="401" hidden="1" customWidth="1"/>
    <col min="1538" max="1538" width="0.85546875" style="401" hidden="1" customWidth="1"/>
    <col min="1539" max="1554" width="2.42578125" style="401" hidden="1" customWidth="1"/>
    <col min="1555" max="1555" width="4" style="401" hidden="1" customWidth="1"/>
    <col min="1556" max="1575" width="2.42578125" style="401" hidden="1" customWidth="1"/>
    <col min="1576" max="1576" width="1.42578125" style="401" hidden="1" customWidth="1"/>
    <col min="1577" max="1792" width="2.42578125" style="401" hidden="1"/>
    <col min="1793" max="1793" width="1.42578125" style="401" hidden="1" customWidth="1"/>
    <col min="1794" max="1794" width="0.85546875" style="401" hidden="1" customWidth="1"/>
    <col min="1795" max="1810" width="2.42578125" style="401" hidden="1" customWidth="1"/>
    <col min="1811" max="1811" width="4" style="401" hidden="1" customWidth="1"/>
    <col min="1812" max="1831" width="2.42578125" style="401" hidden="1" customWidth="1"/>
    <col min="1832" max="1832" width="1.42578125" style="401" hidden="1" customWidth="1"/>
    <col min="1833" max="2048" width="2.42578125" style="401" hidden="1"/>
    <col min="2049" max="2049" width="1.42578125" style="401" hidden="1" customWidth="1"/>
    <col min="2050" max="2050" width="0.85546875" style="401" hidden="1" customWidth="1"/>
    <col min="2051" max="2066" width="2.42578125" style="401" hidden="1" customWidth="1"/>
    <col min="2067" max="2067" width="4" style="401" hidden="1" customWidth="1"/>
    <col min="2068" max="2087" width="2.42578125" style="401" hidden="1" customWidth="1"/>
    <col min="2088" max="2088" width="1.42578125" style="401" hidden="1" customWidth="1"/>
    <col min="2089" max="2304" width="2.42578125" style="401" hidden="1"/>
    <col min="2305" max="2305" width="1.42578125" style="401" hidden="1" customWidth="1"/>
    <col min="2306" max="2306" width="0.85546875" style="401" hidden="1" customWidth="1"/>
    <col min="2307" max="2322" width="2.42578125" style="401" hidden="1" customWidth="1"/>
    <col min="2323" max="2323" width="4" style="401" hidden="1" customWidth="1"/>
    <col min="2324" max="2343" width="2.42578125" style="401" hidden="1" customWidth="1"/>
    <col min="2344" max="2344" width="1.42578125" style="401" hidden="1" customWidth="1"/>
    <col min="2345" max="2560" width="2.42578125" style="401" hidden="1"/>
    <col min="2561" max="2561" width="1.42578125" style="401" hidden="1" customWidth="1"/>
    <col min="2562" max="2562" width="0.85546875" style="401" hidden="1" customWidth="1"/>
    <col min="2563" max="2578" width="2.42578125" style="401" hidden="1" customWidth="1"/>
    <col min="2579" max="2579" width="4" style="401" hidden="1" customWidth="1"/>
    <col min="2580" max="2599" width="2.42578125" style="401" hidden="1" customWidth="1"/>
    <col min="2600" max="2600" width="1.42578125" style="401" hidden="1" customWidth="1"/>
    <col min="2601" max="2816" width="2.42578125" style="401" hidden="1"/>
    <col min="2817" max="2817" width="1.42578125" style="401" hidden="1" customWidth="1"/>
    <col min="2818" max="2818" width="0.85546875" style="401" hidden="1" customWidth="1"/>
    <col min="2819" max="2834" width="2.42578125" style="401" hidden="1" customWidth="1"/>
    <col min="2835" max="2835" width="4" style="401" hidden="1" customWidth="1"/>
    <col min="2836" max="2855" width="2.42578125" style="401" hidden="1" customWidth="1"/>
    <col min="2856" max="2856" width="1.42578125" style="401" hidden="1" customWidth="1"/>
    <col min="2857" max="3072" width="2.42578125" style="401" hidden="1"/>
    <col min="3073" max="3073" width="1.42578125" style="401" hidden="1" customWidth="1"/>
    <col min="3074" max="3074" width="0.85546875" style="401" hidden="1" customWidth="1"/>
    <col min="3075" max="3090" width="2.42578125" style="401" hidden="1" customWidth="1"/>
    <col min="3091" max="3091" width="4" style="401" hidden="1" customWidth="1"/>
    <col min="3092" max="3111" width="2.42578125" style="401" hidden="1" customWidth="1"/>
    <col min="3112" max="3112" width="1.42578125" style="401" hidden="1" customWidth="1"/>
    <col min="3113" max="3328" width="2.42578125" style="401" hidden="1"/>
    <col min="3329" max="3329" width="1.42578125" style="401" hidden="1" customWidth="1"/>
    <col min="3330" max="3330" width="0.85546875" style="401" hidden="1" customWidth="1"/>
    <col min="3331" max="3346" width="2.42578125" style="401" hidden="1" customWidth="1"/>
    <col min="3347" max="3347" width="4" style="401" hidden="1" customWidth="1"/>
    <col min="3348" max="3367" width="2.42578125" style="401" hidden="1" customWidth="1"/>
    <col min="3368" max="3368" width="1.42578125" style="401" hidden="1" customWidth="1"/>
    <col min="3369" max="3584" width="2.42578125" style="401" hidden="1"/>
    <col min="3585" max="3585" width="1.42578125" style="401" hidden="1" customWidth="1"/>
    <col min="3586" max="3586" width="0.85546875" style="401" hidden="1" customWidth="1"/>
    <col min="3587" max="3602" width="2.42578125" style="401" hidden="1" customWidth="1"/>
    <col min="3603" max="3603" width="4" style="401" hidden="1" customWidth="1"/>
    <col min="3604" max="3623" width="2.42578125" style="401" hidden="1" customWidth="1"/>
    <col min="3624" max="3624" width="1.42578125" style="401" hidden="1" customWidth="1"/>
    <col min="3625" max="3840" width="2.42578125" style="401" hidden="1"/>
    <col min="3841" max="3841" width="1.42578125" style="401" hidden="1" customWidth="1"/>
    <col min="3842" max="3842" width="0.85546875" style="401" hidden="1" customWidth="1"/>
    <col min="3843" max="3858" width="2.42578125" style="401" hidden="1" customWidth="1"/>
    <col min="3859" max="3859" width="4" style="401" hidden="1" customWidth="1"/>
    <col min="3860" max="3879" width="2.42578125" style="401" hidden="1" customWidth="1"/>
    <col min="3880" max="3880" width="1.42578125" style="401" hidden="1" customWidth="1"/>
    <col min="3881" max="4096" width="2.42578125" style="401" hidden="1"/>
    <col min="4097" max="4097" width="1.42578125" style="401" hidden="1" customWidth="1"/>
    <col min="4098" max="4098" width="0.85546875" style="401" hidden="1" customWidth="1"/>
    <col min="4099" max="4114" width="2.42578125" style="401" hidden="1" customWidth="1"/>
    <col min="4115" max="4115" width="4" style="401" hidden="1" customWidth="1"/>
    <col min="4116" max="4135" width="2.42578125" style="401" hidden="1" customWidth="1"/>
    <col min="4136" max="4136" width="1.42578125" style="401" hidden="1" customWidth="1"/>
    <col min="4137" max="4352" width="2.42578125" style="401" hidden="1"/>
    <col min="4353" max="4353" width="1.42578125" style="401" hidden="1" customWidth="1"/>
    <col min="4354" max="4354" width="0.85546875" style="401" hidden="1" customWidth="1"/>
    <col min="4355" max="4370" width="2.42578125" style="401" hidden="1" customWidth="1"/>
    <col min="4371" max="4371" width="4" style="401" hidden="1" customWidth="1"/>
    <col min="4372" max="4391" width="2.42578125" style="401" hidden="1" customWidth="1"/>
    <col min="4392" max="4392" width="1.42578125" style="401" hidden="1" customWidth="1"/>
    <col min="4393" max="4608" width="2.42578125" style="401" hidden="1"/>
    <col min="4609" max="4609" width="1.42578125" style="401" hidden="1" customWidth="1"/>
    <col min="4610" max="4610" width="0.85546875" style="401" hidden="1" customWidth="1"/>
    <col min="4611" max="4626" width="2.42578125" style="401" hidden="1" customWidth="1"/>
    <col min="4627" max="4627" width="4" style="401" hidden="1" customWidth="1"/>
    <col min="4628" max="4647" width="2.42578125" style="401" hidden="1" customWidth="1"/>
    <col min="4648" max="4648" width="1.42578125" style="401" hidden="1" customWidth="1"/>
    <col min="4649" max="4864" width="2.42578125" style="401" hidden="1"/>
    <col min="4865" max="4865" width="1.42578125" style="401" hidden="1" customWidth="1"/>
    <col min="4866" max="4866" width="0.85546875" style="401" hidden="1" customWidth="1"/>
    <col min="4867" max="4882" width="2.42578125" style="401" hidden="1" customWidth="1"/>
    <col min="4883" max="4883" width="4" style="401" hidden="1" customWidth="1"/>
    <col min="4884" max="4903" width="2.42578125" style="401" hidden="1" customWidth="1"/>
    <col min="4904" max="4904" width="1.42578125" style="401" hidden="1" customWidth="1"/>
    <col min="4905" max="5120" width="2.42578125" style="401" hidden="1"/>
    <col min="5121" max="5121" width="1.42578125" style="401" hidden="1" customWidth="1"/>
    <col min="5122" max="5122" width="0.85546875" style="401" hidden="1" customWidth="1"/>
    <col min="5123" max="5138" width="2.42578125" style="401" hidden="1" customWidth="1"/>
    <col min="5139" max="5139" width="4" style="401" hidden="1" customWidth="1"/>
    <col min="5140" max="5159" width="2.42578125" style="401" hidden="1" customWidth="1"/>
    <col min="5160" max="5160" width="1.42578125" style="401" hidden="1" customWidth="1"/>
    <col min="5161" max="5376" width="2.42578125" style="401" hidden="1"/>
    <col min="5377" max="5377" width="1.42578125" style="401" hidden="1" customWidth="1"/>
    <col min="5378" max="5378" width="0.85546875" style="401" hidden="1" customWidth="1"/>
    <col min="5379" max="5394" width="2.42578125" style="401" hidden="1" customWidth="1"/>
    <col min="5395" max="5395" width="4" style="401" hidden="1" customWidth="1"/>
    <col min="5396" max="5415" width="2.42578125" style="401" hidden="1" customWidth="1"/>
    <col min="5416" max="5416" width="1.42578125" style="401" hidden="1" customWidth="1"/>
    <col min="5417" max="5632" width="2.42578125" style="401" hidden="1"/>
    <col min="5633" max="5633" width="1.42578125" style="401" hidden="1" customWidth="1"/>
    <col min="5634" max="5634" width="0.85546875" style="401" hidden="1" customWidth="1"/>
    <col min="5635" max="5650" width="2.42578125" style="401" hidden="1" customWidth="1"/>
    <col min="5651" max="5651" width="4" style="401" hidden="1" customWidth="1"/>
    <col min="5652" max="5671" width="2.42578125" style="401" hidden="1" customWidth="1"/>
    <col min="5672" max="5672" width="1.42578125" style="401" hidden="1" customWidth="1"/>
    <col min="5673" max="5888" width="2.42578125" style="401" hidden="1"/>
    <col min="5889" max="5889" width="1.42578125" style="401" hidden="1" customWidth="1"/>
    <col min="5890" max="5890" width="0.85546875" style="401" hidden="1" customWidth="1"/>
    <col min="5891" max="5906" width="2.42578125" style="401" hidden="1" customWidth="1"/>
    <col min="5907" max="5907" width="4" style="401" hidden="1" customWidth="1"/>
    <col min="5908" max="5927" width="2.42578125" style="401" hidden="1" customWidth="1"/>
    <col min="5928" max="5928" width="1.42578125" style="401" hidden="1" customWidth="1"/>
    <col min="5929" max="6144" width="2.42578125" style="401" hidden="1"/>
    <col min="6145" max="6145" width="1.42578125" style="401" hidden="1" customWidth="1"/>
    <col min="6146" max="6146" width="0.85546875" style="401" hidden="1" customWidth="1"/>
    <col min="6147" max="6162" width="2.42578125" style="401" hidden="1" customWidth="1"/>
    <col min="6163" max="6163" width="4" style="401" hidden="1" customWidth="1"/>
    <col min="6164" max="6183" width="2.42578125" style="401" hidden="1" customWidth="1"/>
    <col min="6184" max="6184" width="1.42578125" style="401" hidden="1" customWidth="1"/>
    <col min="6185" max="6400" width="2.42578125" style="401" hidden="1"/>
    <col min="6401" max="6401" width="1.42578125" style="401" hidden="1" customWidth="1"/>
    <col min="6402" max="6402" width="0.85546875" style="401" hidden="1" customWidth="1"/>
    <col min="6403" max="6418" width="2.42578125" style="401" hidden="1" customWidth="1"/>
    <col min="6419" max="6419" width="4" style="401" hidden="1" customWidth="1"/>
    <col min="6420" max="6439" width="2.42578125" style="401" hidden="1" customWidth="1"/>
    <col min="6440" max="6440" width="1.42578125" style="401" hidden="1" customWidth="1"/>
    <col min="6441" max="6656" width="2.42578125" style="401" hidden="1"/>
    <col min="6657" max="6657" width="1.42578125" style="401" hidden="1" customWidth="1"/>
    <col min="6658" max="6658" width="0.85546875" style="401" hidden="1" customWidth="1"/>
    <col min="6659" max="6674" width="2.42578125" style="401" hidden="1" customWidth="1"/>
    <col min="6675" max="6675" width="4" style="401" hidden="1" customWidth="1"/>
    <col min="6676" max="6695" width="2.42578125" style="401" hidden="1" customWidth="1"/>
    <col min="6696" max="6696" width="1.42578125" style="401" hidden="1" customWidth="1"/>
    <col min="6697" max="6912" width="2.42578125" style="401" hidden="1"/>
    <col min="6913" max="6913" width="1.42578125" style="401" hidden="1" customWidth="1"/>
    <col min="6914" max="6914" width="0.85546875" style="401" hidden="1" customWidth="1"/>
    <col min="6915" max="6930" width="2.42578125" style="401" hidden="1" customWidth="1"/>
    <col min="6931" max="6931" width="4" style="401" hidden="1" customWidth="1"/>
    <col min="6932" max="6951" width="2.42578125" style="401" hidden="1" customWidth="1"/>
    <col min="6952" max="6952" width="1.42578125" style="401" hidden="1" customWidth="1"/>
    <col min="6953" max="7168" width="2.42578125" style="401" hidden="1"/>
    <col min="7169" max="7169" width="1.42578125" style="401" hidden="1" customWidth="1"/>
    <col min="7170" max="7170" width="0.85546875" style="401" hidden="1" customWidth="1"/>
    <col min="7171" max="7186" width="2.42578125" style="401" hidden="1" customWidth="1"/>
    <col min="7187" max="7187" width="4" style="401" hidden="1" customWidth="1"/>
    <col min="7188" max="7207" width="2.42578125" style="401" hidden="1" customWidth="1"/>
    <col min="7208" max="7208" width="1.42578125" style="401" hidden="1" customWidth="1"/>
    <col min="7209" max="7424" width="2.42578125" style="401" hidden="1"/>
    <col min="7425" max="7425" width="1.42578125" style="401" hidden="1" customWidth="1"/>
    <col min="7426" max="7426" width="0.85546875" style="401" hidden="1" customWidth="1"/>
    <col min="7427" max="7442" width="2.42578125" style="401" hidden="1" customWidth="1"/>
    <col min="7443" max="7443" width="4" style="401" hidden="1" customWidth="1"/>
    <col min="7444" max="7463" width="2.42578125" style="401" hidden="1" customWidth="1"/>
    <col min="7464" max="7464" width="1.42578125" style="401" hidden="1" customWidth="1"/>
    <col min="7465" max="7680" width="2.42578125" style="401" hidden="1"/>
    <col min="7681" max="7681" width="1.42578125" style="401" hidden="1" customWidth="1"/>
    <col min="7682" max="7682" width="0.85546875" style="401" hidden="1" customWidth="1"/>
    <col min="7683" max="7698" width="2.42578125" style="401" hidden="1" customWidth="1"/>
    <col min="7699" max="7699" width="4" style="401" hidden="1" customWidth="1"/>
    <col min="7700" max="7719" width="2.42578125" style="401" hidden="1" customWidth="1"/>
    <col min="7720" max="7720" width="1.42578125" style="401" hidden="1" customWidth="1"/>
    <col min="7721" max="7936" width="2.42578125" style="401" hidden="1"/>
    <col min="7937" max="7937" width="1.42578125" style="401" hidden="1" customWidth="1"/>
    <col min="7938" max="7938" width="0.85546875" style="401" hidden="1" customWidth="1"/>
    <col min="7939" max="7954" width="2.42578125" style="401" hidden="1" customWidth="1"/>
    <col min="7955" max="7955" width="4" style="401" hidden="1" customWidth="1"/>
    <col min="7956" max="7975" width="2.42578125" style="401" hidden="1" customWidth="1"/>
    <col min="7976" max="7976" width="1.42578125" style="401" hidden="1" customWidth="1"/>
    <col min="7977" max="8192" width="2.42578125" style="401" hidden="1"/>
    <col min="8193" max="8193" width="1.42578125" style="401" hidden="1" customWidth="1"/>
    <col min="8194" max="8194" width="0.85546875" style="401" hidden="1" customWidth="1"/>
    <col min="8195" max="8210" width="2.42578125" style="401" hidden="1" customWidth="1"/>
    <col min="8211" max="8211" width="4" style="401" hidden="1" customWidth="1"/>
    <col min="8212" max="8231" width="2.42578125" style="401" hidden="1" customWidth="1"/>
    <col min="8232" max="8232" width="1.42578125" style="401" hidden="1" customWidth="1"/>
    <col min="8233" max="8448" width="2.42578125" style="401" hidden="1"/>
    <col min="8449" max="8449" width="1.42578125" style="401" hidden="1" customWidth="1"/>
    <col min="8450" max="8450" width="0.85546875" style="401" hidden="1" customWidth="1"/>
    <col min="8451" max="8466" width="2.42578125" style="401" hidden="1" customWidth="1"/>
    <col min="8467" max="8467" width="4" style="401" hidden="1" customWidth="1"/>
    <col min="8468" max="8487" width="2.42578125" style="401" hidden="1" customWidth="1"/>
    <col min="8488" max="8488" width="1.42578125" style="401" hidden="1" customWidth="1"/>
    <col min="8489" max="8704" width="2.42578125" style="401" hidden="1"/>
    <col min="8705" max="8705" width="1.42578125" style="401" hidden="1" customWidth="1"/>
    <col min="8706" max="8706" width="0.85546875" style="401" hidden="1" customWidth="1"/>
    <col min="8707" max="8722" width="2.42578125" style="401" hidden="1" customWidth="1"/>
    <col min="8723" max="8723" width="4" style="401" hidden="1" customWidth="1"/>
    <col min="8724" max="8743" width="2.42578125" style="401" hidden="1" customWidth="1"/>
    <col min="8744" max="8744" width="1.42578125" style="401" hidden="1" customWidth="1"/>
    <col min="8745" max="8960" width="2.42578125" style="401" hidden="1"/>
    <col min="8961" max="8961" width="1.42578125" style="401" hidden="1" customWidth="1"/>
    <col min="8962" max="8962" width="0.85546875" style="401" hidden="1" customWidth="1"/>
    <col min="8963" max="8978" width="2.42578125" style="401" hidden="1" customWidth="1"/>
    <col min="8979" max="8979" width="4" style="401" hidden="1" customWidth="1"/>
    <col min="8980" max="8999" width="2.42578125" style="401" hidden="1" customWidth="1"/>
    <col min="9000" max="9000" width="1.42578125" style="401" hidden="1" customWidth="1"/>
    <col min="9001" max="9216" width="2.42578125" style="401" hidden="1"/>
    <col min="9217" max="9217" width="1.42578125" style="401" hidden="1" customWidth="1"/>
    <col min="9218" max="9218" width="0.85546875" style="401" hidden="1" customWidth="1"/>
    <col min="9219" max="9234" width="2.42578125" style="401" hidden="1" customWidth="1"/>
    <col min="9235" max="9235" width="4" style="401" hidden="1" customWidth="1"/>
    <col min="9236" max="9255" width="2.42578125" style="401" hidden="1" customWidth="1"/>
    <col min="9256" max="9256" width="1.42578125" style="401" hidden="1" customWidth="1"/>
    <col min="9257" max="9472" width="2.42578125" style="401" hidden="1"/>
    <col min="9473" max="9473" width="1.42578125" style="401" hidden="1" customWidth="1"/>
    <col min="9474" max="9474" width="0.85546875" style="401" hidden="1" customWidth="1"/>
    <col min="9475" max="9490" width="2.42578125" style="401" hidden="1" customWidth="1"/>
    <col min="9491" max="9491" width="4" style="401" hidden="1" customWidth="1"/>
    <col min="9492" max="9511" width="2.42578125" style="401" hidden="1" customWidth="1"/>
    <col min="9512" max="9512" width="1.42578125" style="401" hidden="1" customWidth="1"/>
    <col min="9513" max="9728" width="2.42578125" style="401" hidden="1"/>
    <col min="9729" max="9729" width="1.42578125" style="401" hidden="1" customWidth="1"/>
    <col min="9730" max="9730" width="0.85546875" style="401" hidden="1" customWidth="1"/>
    <col min="9731" max="9746" width="2.42578125" style="401" hidden="1" customWidth="1"/>
    <col min="9747" max="9747" width="4" style="401" hidden="1" customWidth="1"/>
    <col min="9748" max="9767" width="2.42578125" style="401" hidden="1" customWidth="1"/>
    <col min="9768" max="9768" width="1.42578125" style="401" hidden="1" customWidth="1"/>
    <col min="9769" max="9984" width="2.42578125" style="401" hidden="1"/>
    <col min="9985" max="9985" width="1.42578125" style="401" hidden="1" customWidth="1"/>
    <col min="9986" max="9986" width="0.85546875" style="401" hidden="1" customWidth="1"/>
    <col min="9987" max="10002" width="2.42578125" style="401" hidden="1" customWidth="1"/>
    <col min="10003" max="10003" width="4" style="401" hidden="1" customWidth="1"/>
    <col min="10004" max="10023" width="2.42578125" style="401" hidden="1" customWidth="1"/>
    <col min="10024" max="10024" width="1.42578125" style="401" hidden="1" customWidth="1"/>
    <col min="10025" max="10240" width="2.42578125" style="401" hidden="1"/>
    <col min="10241" max="10241" width="1.42578125" style="401" hidden="1" customWidth="1"/>
    <col min="10242" max="10242" width="0.85546875" style="401" hidden="1" customWidth="1"/>
    <col min="10243" max="10258" width="2.42578125" style="401" hidden="1" customWidth="1"/>
    <col min="10259" max="10259" width="4" style="401" hidden="1" customWidth="1"/>
    <col min="10260" max="10279" width="2.42578125" style="401" hidden="1" customWidth="1"/>
    <col min="10280" max="10280" width="1.42578125" style="401" hidden="1" customWidth="1"/>
    <col min="10281" max="10496" width="2.42578125" style="401" hidden="1"/>
    <col min="10497" max="10497" width="1.42578125" style="401" hidden="1" customWidth="1"/>
    <col min="10498" max="10498" width="0.85546875" style="401" hidden="1" customWidth="1"/>
    <col min="10499" max="10514" width="2.42578125" style="401" hidden="1" customWidth="1"/>
    <col min="10515" max="10515" width="4" style="401" hidden="1" customWidth="1"/>
    <col min="10516" max="10535" width="2.42578125" style="401" hidden="1" customWidth="1"/>
    <col min="10536" max="10536" width="1.42578125" style="401" hidden="1" customWidth="1"/>
    <col min="10537" max="10752" width="2.42578125" style="401" hidden="1"/>
    <col min="10753" max="10753" width="1.42578125" style="401" hidden="1" customWidth="1"/>
    <col min="10754" max="10754" width="0.85546875" style="401" hidden="1" customWidth="1"/>
    <col min="10755" max="10770" width="2.42578125" style="401" hidden="1" customWidth="1"/>
    <col min="10771" max="10771" width="4" style="401" hidden="1" customWidth="1"/>
    <col min="10772" max="10791" width="2.42578125" style="401" hidden="1" customWidth="1"/>
    <col min="10792" max="10792" width="1.42578125" style="401" hidden="1" customWidth="1"/>
    <col min="10793" max="11008" width="2.42578125" style="401" hidden="1"/>
    <col min="11009" max="11009" width="1.42578125" style="401" hidden="1" customWidth="1"/>
    <col min="11010" max="11010" width="0.85546875" style="401" hidden="1" customWidth="1"/>
    <col min="11011" max="11026" width="2.42578125" style="401" hidden="1" customWidth="1"/>
    <col min="11027" max="11027" width="4" style="401" hidden="1" customWidth="1"/>
    <col min="11028" max="11047" width="2.42578125" style="401" hidden="1" customWidth="1"/>
    <col min="11048" max="11048" width="1.42578125" style="401" hidden="1" customWidth="1"/>
    <col min="11049" max="11264" width="2.42578125" style="401" hidden="1"/>
    <col min="11265" max="11265" width="1.42578125" style="401" hidden="1" customWidth="1"/>
    <col min="11266" max="11266" width="0.85546875" style="401" hidden="1" customWidth="1"/>
    <col min="11267" max="11282" width="2.42578125" style="401" hidden="1" customWidth="1"/>
    <col min="11283" max="11283" width="4" style="401" hidden="1" customWidth="1"/>
    <col min="11284" max="11303" width="2.42578125" style="401" hidden="1" customWidth="1"/>
    <col min="11304" max="11304" width="1.42578125" style="401" hidden="1" customWidth="1"/>
    <col min="11305" max="11520" width="2.42578125" style="401" hidden="1"/>
    <col min="11521" max="11521" width="1.42578125" style="401" hidden="1" customWidth="1"/>
    <col min="11522" max="11522" width="0.85546875" style="401" hidden="1" customWidth="1"/>
    <col min="11523" max="11538" width="2.42578125" style="401" hidden="1" customWidth="1"/>
    <col min="11539" max="11539" width="4" style="401" hidden="1" customWidth="1"/>
    <col min="11540" max="11559" width="2.42578125" style="401" hidden="1" customWidth="1"/>
    <col min="11560" max="11560" width="1.42578125" style="401" hidden="1" customWidth="1"/>
    <col min="11561" max="11776" width="2.42578125" style="401" hidden="1"/>
    <col min="11777" max="11777" width="1.42578125" style="401" hidden="1" customWidth="1"/>
    <col min="11778" max="11778" width="0.85546875" style="401" hidden="1" customWidth="1"/>
    <col min="11779" max="11794" width="2.42578125" style="401" hidden="1" customWidth="1"/>
    <col min="11795" max="11795" width="4" style="401" hidden="1" customWidth="1"/>
    <col min="11796" max="11815" width="2.42578125" style="401" hidden="1" customWidth="1"/>
    <col min="11816" max="11816" width="1.42578125" style="401" hidden="1" customWidth="1"/>
    <col min="11817" max="12032" width="2.42578125" style="401" hidden="1"/>
    <col min="12033" max="12033" width="1.42578125" style="401" hidden="1" customWidth="1"/>
    <col min="12034" max="12034" width="0.85546875" style="401" hidden="1" customWidth="1"/>
    <col min="12035" max="12050" width="2.42578125" style="401" hidden="1" customWidth="1"/>
    <col min="12051" max="12051" width="4" style="401" hidden="1" customWidth="1"/>
    <col min="12052" max="12071" width="2.42578125" style="401" hidden="1" customWidth="1"/>
    <col min="12072" max="12072" width="1.42578125" style="401" hidden="1" customWidth="1"/>
    <col min="12073" max="12288" width="2.42578125" style="401" hidden="1"/>
    <col min="12289" max="12289" width="1.42578125" style="401" hidden="1" customWidth="1"/>
    <col min="12290" max="12290" width="0.85546875" style="401" hidden="1" customWidth="1"/>
    <col min="12291" max="12306" width="2.42578125" style="401" hidden="1" customWidth="1"/>
    <col min="12307" max="12307" width="4" style="401" hidden="1" customWidth="1"/>
    <col min="12308" max="12327" width="2.42578125" style="401" hidden="1" customWidth="1"/>
    <col min="12328" max="12328" width="1.42578125" style="401" hidden="1" customWidth="1"/>
    <col min="12329" max="12544" width="2.42578125" style="401" hidden="1"/>
    <col min="12545" max="12545" width="1.42578125" style="401" hidden="1" customWidth="1"/>
    <col min="12546" max="12546" width="0.85546875" style="401" hidden="1" customWidth="1"/>
    <col min="12547" max="12562" width="2.42578125" style="401" hidden="1" customWidth="1"/>
    <col min="12563" max="12563" width="4" style="401" hidden="1" customWidth="1"/>
    <col min="12564" max="12583" width="2.42578125" style="401" hidden="1" customWidth="1"/>
    <col min="12584" max="12584" width="1.42578125" style="401" hidden="1" customWidth="1"/>
    <col min="12585" max="12800" width="2.42578125" style="401" hidden="1"/>
    <col min="12801" max="12801" width="1.42578125" style="401" hidden="1" customWidth="1"/>
    <col min="12802" max="12802" width="0.85546875" style="401" hidden="1" customWidth="1"/>
    <col min="12803" max="12818" width="2.42578125" style="401" hidden="1" customWidth="1"/>
    <col min="12819" max="12819" width="4" style="401" hidden="1" customWidth="1"/>
    <col min="12820" max="12839" width="2.42578125" style="401" hidden="1" customWidth="1"/>
    <col min="12840" max="12840" width="1.42578125" style="401" hidden="1" customWidth="1"/>
    <col min="12841" max="13056" width="2.42578125" style="401" hidden="1"/>
    <col min="13057" max="13057" width="1.42578125" style="401" hidden="1" customWidth="1"/>
    <col min="13058" max="13058" width="0.85546875" style="401" hidden="1" customWidth="1"/>
    <col min="13059" max="13074" width="2.42578125" style="401" hidden="1" customWidth="1"/>
    <col min="13075" max="13075" width="4" style="401" hidden="1" customWidth="1"/>
    <col min="13076" max="13095" width="2.42578125" style="401" hidden="1" customWidth="1"/>
    <col min="13096" max="13096" width="1.42578125" style="401" hidden="1" customWidth="1"/>
    <col min="13097" max="13312" width="2.42578125" style="401" hidden="1"/>
    <col min="13313" max="13313" width="1.42578125" style="401" hidden="1" customWidth="1"/>
    <col min="13314" max="13314" width="0.85546875" style="401" hidden="1" customWidth="1"/>
    <col min="13315" max="13330" width="2.42578125" style="401" hidden="1" customWidth="1"/>
    <col min="13331" max="13331" width="4" style="401" hidden="1" customWidth="1"/>
    <col min="13332" max="13351" width="2.42578125" style="401" hidden="1" customWidth="1"/>
    <col min="13352" max="13352" width="1.42578125" style="401" hidden="1" customWidth="1"/>
    <col min="13353" max="13568" width="2.42578125" style="401" hidden="1"/>
    <col min="13569" max="13569" width="1.42578125" style="401" hidden="1" customWidth="1"/>
    <col min="13570" max="13570" width="0.85546875" style="401" hidden="1" customWidth="1"/>
    <col min="13571" max="13586" width="2.42578125" style="401" hidden="1" customWidth="1"/>
    <col min="13587" max="13587" width="4" style="401" hidden="1" customWidth="1"/>
    <col min="13588" max="13607" width="2.42578125" style="401" hidden="1" customWidth="1"/>
    <col min="13608" max="13608" width="1.42578125" style="401" hidden="1" customWidth="1"/>
    <col min="13609" max="13824" width="2.42578125" style="401" hidden="1"/>
    <col min="13825" max="13825" width="1.42578125" style="401" hidden="1" customWidth="1"/>
    <col min="13826" max="13826" width="0.85546875" style="401" hidden="1" customWidth="1"/>
    <col min="13827" max="13842" width="2.42578125" style="401" hidden="1" customWidth="1"/>
    <col min="13843" max="13843" width="4" style="401" hidden="1" customWidth="1"/>
    <col min="13844" max="13863" width="2.42578125" style="401" hidden="1" customWidth="1"/>
    <col min="13864" max="13864" width="1.42578125" style="401" hidden="1" customWidth="1"/>
    <col min="13865" max="14080" width="2.42578125" style="401" hidden="1"/>
    <col min="14081" max="14081" width="1.42578125" style="401" hidden="1" customWidth="1"/>
    <col min="14082" max="14082" width="0.85546875" style="401" hidden="1" customWidth="1"/>
    <col min="14083" max="14098" width="2.42578125" style="401" hidden="1" customWidth="1"/>
    <col min="14099" max="14099" width="4" style="401" hidden="1" customWidth="1"/>
    <col min="14100" max="14119" width="2.42578125" style="401" hidden="1" customWidth="1"/>
    <col min="14120" max="14120" width="1.42578125" style="401" hidden="1" customWidth="1"/>
    <col min="14121" max="14336" width="2.42578125" style="401" hidden="1"/>
    <col min="14337" max="14337" width="1.42578125" style="401" hidden="1" customWidth="1"/>
    <col min="14338" max="14338" width="0.85546875" style="401" hidden="1" customWidth="1"/>
    <col min="14339" max="14354" width="2.42578125" style="401" hidden="1" customWidth="1"/>
    <col min="14355" max="14355" width="4" style="401" hidden="1" customWidth="1"/>
    <col min="14356" max="14375" width="2.42578125" style="401" hidden="1" customWidth="1"/>
    <col min="14376" max="14376" width="1.42578125" style="401" hidden="1" customWidth="1"/>
    <col min="14377" max="14592" width="2.42578125" style="401" hidden="1"/>
    <col min="14593" max="14593" width="1.42578125" style="401" hidden="1" customWidth="1"/>
    <col min="14594" max="14594" width="0.85546875" style="401" hidden="1" customWidth="1"/>
    <col min="14595" max="14610" width="2.42578125" style="401" hidden="1" customWidth="1"/>
    <col min="14611" max="14611" width="4" style="401" hidden="1" customWidth="1"/>
    <col min="14612" max="14631" width="2.42578125" style="401" hidden="1" customWidth="1"/>
    <col min="14632" max="14632" width="1.42578125" style="401" hidden="1" customWidth="1"/>
    <col min="14633" max="14848" width="2.42578125" style="401" hidden="1"/>
    <col min="14849" max="14849" width="1.42578125" style="401" hidden="1" customWidth="1"/>
    <col min="14850" max="14850" width="0.85546875" style="401" hidden="1" customWidth="1"/>
    <col min="14851" max="14866" width="2.42578125" style="401" hidden="1" customWidth="1"/>
    <col min="14867" max="14867" width="4" style="401" hidden="1" customWidth="1"/>
    <col min="14868" max="14887" width="2.42578125" style="401" hidden="1" customWidth="1"/>
    <col min="14888" max="14888" width="1.42578125" style="401" hidden="1" customWidth="1"/>
    <col min="14889" max="15104" width="2.42578125" style="401" hidden="1"/>
    <col min="15105" max="15105" width="1.42578125" style="401" hidden="1" customWidth="1"/>
    <col min="15106" max="15106" width="0.85546875" style="401" hidden="1" customWidth="1"/>
    <col min="15107" max="15122" width="2.42578125" style="401" hidden="1" customWidth="1"/>
    <col min="15123" max="15123" width="4" style="401" hidden="1" customWidth="1"/>
    <col min="15124" max="15143" width="2.42578125" style="401" hidden="1" customWidth="1"/>
    <col min="15144" max="15144" width="1.42578125" style="401" hidden="1" customWidth="1"/>
    <col min="15145" max="15360" width="2.42578125" style="401" hidden="1"/>
    <col min="15361" max="15361" width="1.42578125" style="401" hidden="1" customWidth="1"/>
    <col min="15362" max="15362" width="0.85546875" style="401" hidden="1" customWidth="1"/>
    <col min="15363" max="15378" width="2.42578125" style="401" hidden="1" customWidth="1"/>
    <col min="15379" max="15379" width="4" style="401" hidden="1" customWidth="1"/>
    <col min="15380" max="15399" width="2.42578125" style="401" hidden="1" customWidth="1"/>
    <col min="15400" max="15400" width="1.42578125" style="401" hidden="1" customWidth="1"/>
    <col min="15401" max="15616" width="2.42578125" style="401" hidden="1"/>
    <col min="15617" max="15617" width="1.42578125" style="401" hidden="1" customWidth="1"/>
    <col min="15618" max="15618" width="0.85546875" style="401" hidden="1" customWidth="1"/>
    <col min="15619" max="15634" width="2.42578125" style="401" hidden="1" customWidth="1"/>
    <col min="15635" max="15635" width="4" style="401" hidden="1" customWidth="1"/>
    <col min="15636" max="15655" width="2.42578125" style="401" hidden="1" customWidth="1"/>
    <col min="15656" max="15656" width="1.42578125" style="401" hidden="1" customWidth="1"/>
    <col min="15657" max="15872" width="2.42578125" style="401" hidden="1"/>
    <col min="15873" max="15873" width="1.42578125" style="401" hidden="1" customWidth="1"/>
    <col min="15874" max="15874" width="0.85546875" style="401" hidden="1" customWidth="1"/>
    <col min="15875" max="15890" width="2.42578125" style="401" hidden="1" customWidth="1"/>
    <col min="15891" max="15891" width="4" style="401" hidden="1" customWidth="1"/>
    <col min="15892" max="15911" width="2.42578125" style="401" hidden="1" customWidth="1"/>
    <col min="15912" max="15912" width="1.42578125" style="401" hidden="1" customWidth="1"/>
    <col min="15913" max="16128" width="2.42578125" style="401" hidden="1"/>
    <col min="16129" max="16129" width="1.42578125" style="401" hidden="1" customWidth="1"/>
    <col min="16130" max="16130" width="0.85546875" style="401" hidden="1" customWidth="1"/>
    <col min="16131" max="16146" width="2.42578125" style="401" hidden="1" customWidth="1"/>
    <col min="16147" max="16147" width="4" style="401" hidden="1" customWidth="1"/>
    <col min="16148" max="16167" width="2.42578125" style="401" hidden="1" customWidth="1"/>
    <col min="16168" max="16168" width="1.42578125" style="401" hidden="1" customWidth="1"/>
    <col min="16169" max="16384" width="2.42578125" style="401" hidden="1"/>
  </cols>
  <sheetData>
    <row r="1" spans="1:40" ht="12.95" customHeight="1">
      <c r="A1" s="2387" t="s">
        <v>1281</v>
      </c>
      <c r="B1" s="2387"/>
      <c r="C1" s="2387"/>
      <c r="D1" s="2387"/>
      <c r="E1" s="2387"/>
      <c r="F1" s="2387"/>
      <c r="G1" s="2387"/>
      <c r="H1" s="2387"/>
      <c r="I1" s="2387"/>
      <c r="J1" s="2387"/>
      <c r="K1" s="2387"/>
      <c r="L1" s="2387"/>
      <c r="M1" s="2387"/>
      <c r="N1" s="2387"/>
      <c r="O1" s="2387"/>
      <c r="P1" s="2387"/>
      <c r="Q1" s="2387"/>
      <c r="R1" s="2387"/>
      <c r="S1" s="2387"/>
      <c r="T1" s="2387"/>
      <c r="U1" s="2387"/>
      <c r="V1" s="2387"/>
      <c r="W1" s="2387"/>
      <c r="X1" s="2387"/>
      <c r="Y1" s="2387"/>
      <c r="Z1" s="2387"/>
      <c r="AA1" s="2387"/>
      <c r="AB1" s="2387"/>
      <c r="AC1" s="2387"/>
      <c r="AD1" s="2387"/>
      <c r="AE1" s="2387"/>
      <c r="AF1" s="2387"/>
      <c r="AG1" s="2387"/>
      <c r="AH1" s="2387"/>
      <c r="AI1" s="2387"/>
      <c r="AJ1" s="2387"/>
      <c r="AK1" s="2387"/>
      <c r="AL1" s="2387"/>
      <c r="AM1" s="2387"/>
      <c r="AN1" s="2387"/>
    </row>
    <row r="2" spans="1:40" ht="12.95" customHeight="1" thickBot="1">
      <c r="A2" s="2388"/>
      <c r="B2" s="2388"/>
      <c r="C2" s="2388"/>
      <c r="D2" s="2388"/>
      <c r="E2" s="2388"/>
      <c r="F2" s="2388"/>
      <c r="G2" s="2388"/>
      <c r="H2" s="2388"/>
      <c r="I2" s="2388"/>
      <c r="J2" s="2388"/>
      <c r="K2" s="2388"/>
      <c r="L2" s="2388"/>
      <c r="M2" s="2388"/>
      <c r="N2" s="2388"/>
      <c r="O2" s="2388"/>
      <c r="P2" s="2388"/>
      <c r="Q2" s="2388"/>
      <c r="R2" s="2388"/>
      <c r="S2" s="2388"/>
      <c r="T2" s="2388"/>
      <c r="U2" s="2388"/>
      <c r="V2" s="2388"/>
      <c r="W2" s="2388"/>
      <c r="X2" s="2388"/>
      <c r="Y2" s="2388"/>
      <c r="Z2" s="2388"/>
      <c r="AA2" s="2388"/>
      <c r="AB2" s="2388"/>
      <c r="AC2" s="2388"/>
      <c r="AD2" s="2388"/>
      <c r="AE2" s="2388"/>
      <c r="AF2" s="2388"/>
      <c r="AG2" s="2388"/>
      <c r="AH2" s="2388"/>
      <c r="AI2" s="2388"/>
      <c r="AJ2" s="2388"/>
      <c r="AK2" s="2388"/>
      <c r="AL2" s="2388"/>
      <c r="AM2" s="2388"/>
      <c r="AN2" s="2388"/>
    </row>
    <row r="3" spans="1:40" ht="12.95" customHeight="1" thickTop="1">
      <c r="A3" s="401" t="str">
        <f>+A1</f>
        <v>V. BASIS AND CREDITS : 4% FEDERAL AND STATE CREDIT</v>
      </c>
      <c r="C3" s="101"/>
      <c r="D3" s="101"/>
      <c r="E3" s="101"/>
      <c r="F3" s="101"/>
      <c r="G3" s="101"/>
      <c r="H3" s="101"/>
      <c r="I3" s="101"/>
      <c r="J3" s="402"/>
      <c r="K3" s="402"/>
      <c r="L3" s="402"/>
      <c r="M3" s="402"/>
      <c r="N3" s="402"/>
      <c r="O3" s="402"/>
      <c r="P3" s="402"/>
      <c r="Q3" s="402"/>
      <c r="R3" s="402"/>
      <c r="S3" s="402"/>
      <c r="T3" s="402"/>
      <c r="U3" s="402"/>
      <c r="V3" s="402"/>
      <c r="W3" s="402"/>
      <c r="X3" s="402"/>
      <c r="Y3" s="402"/>
      <c r="Z3" s="402"/>
      <c r="AA3" s="402"/>
      <c r="AB3" s="402"/>
      <c r="AC3" s="402"/>
      <c r="AD3" s="402"/>
      <c r="AE3" s="402"/>
      <c r="AF3" s="402"/>
      <c r="AG3" s="402"/>
      <c r="AH3" s="402"/>
      <c r="AI3" s="402"/>
      <c r="AJ3" s="402"/>
      <c r="AK3" s="402"/>
      <c r="AL3" s="402"/>
      <c r="AM3" s="402"/>
      <c r="AN3" s="402"/>
    </row>
    <row r="4" spans="1:40" ht="12.95" customHeight="1">
      <c r="A4" s="403"/>
    </row>
    <row r="5" spans="1:40" ht="12.95" customHeight="1">
      <c r="A5" s="403" t="s">
        <v>319</v>
      </c>
      <c r="C5" s="403" t="s">
        <v>122</v>
      </c>
      <c r="F5" s="403"/>
    </row>
    <row r="6" spans="1:40" ht="12.95" customHeight="1">
      <c r="A6" s="403"/>
      <c r="C6" s="401" t="s">
        <v>1239</v>
      </c>
    </row>
    <row r="7" spans="1:40" ht="12.95" customHeight="1">
      <c r="B7" s="404"/>
      <c r="C7" s="405"/>
      <c r="D7" s="405"/>
      <c r="E7" s="405"/>
      <c r="F7" s="405"/>
      <c r="G7" s="405"/>
      <c r="H7" s="405"/>
      <c r="I7" s="405"/>
      <c r="J7" s="405"/>
      <c r="K7" s="405"/>
      <c r="L7" s="405"/>
      <c r="M7" s="405"/>
      <c r="N7" s="405"/>
      <c r="O7" s="405"/>
      <c r="P7" s="405"/>
      <c r="Q7" s="405"/>
      <c r="R7" s="405"/>
      <c r="S7" s="405"/>
      <c r="T7" s="2367" t="str">
        <f xml:space="preserve"> IF(T25=100%,'Sources and Basis Breakdown'!G2,'Sources and Basis Breakdown'!F2)</f>
        <v>30% PVC for New Const/
Rehabilitation
DDA/QCT
Building(s)</v>
      </c>
      <c r="U7" s="2367"/>
      <c r="V7" s="2367"/>
      <c r="W7" s="2367"/>
      <c r="X7" s="2367"/>
      <c r="Y7" s="2367" t="str">
        <f>IF(T25=100%,"",'Sources and Basis Breakdown'!G2)</f>
        <v>30% PVC for New Const/
Rehabilitation
NON-DDA/
NON-QCT Building(s)</v>
      </c>
      <c r="Z7" s="2367"/>
      <c r="AA7" s="2367"/>
      <c r="AB7" s="2367"/>
      <c r="AC7" s="2367"/>
      <c r="AD7" s="2367" t="str">
        <f xml:space="preserve"> IF(T25=100%, 'Sources and Basis Breakdown'!J2,'Sources and Basis Breakdown'!I2)</f>
        <v>30% PVC for Acquisition
DDA/QCT Building(s)</v>
      </c>
      <c r="AE7" s="2367"/>
      <c r="AF7" s="2367"/>
      <c r="AG7" s="2367"/>
      <c r="AH7" s="2367"/>
      <c r="AI7" s="2367" t="str">
        <f>IF(T25=100%,"",'Sources and Basis Breakdown'!J2)</f>
        <v>30% PVC for Acquisition
NON-DDA/
NON-QCT Building(s)</v>
      </c>
      <c r="AJ7" s="2367"/>
      <c r="AK7" s="2367"/>
      <c r="AL7" s="2367"/>
      <c r="AM7" s="2367"/>
    </row>
    <row r="8" spans="1:40" ht="12.95" customHeight="1">
      <c r="B8" s="406"/>
      <c r="T8" s="2367"/>
      <c r="U8" s="2367"/>
      <c r="V8" s="2367"/>
      <c r="W8" s="2367"/>
      <c r="X8" s="2367"/>
      <c r="Y8" s="2367"/>
      <c r="Z8" s="2367"/>
      <c r="AA8" s="2367"/>
      <c r="AB8" s="2367"/>
      <c r="AC8" s="2367"/>
      <c r="AD8" s="2367"/>
      <c r="AE8" s="2367"/>
      <c r="AF8" s="2367"/>
      <c r="AG8" s="2367"/>
      <c r="AH8" s="2367"/>
      <c r="AI8" s="2367"/>
      <c r="AJ8" s="2367"/>
      <c r="AK8" s="2367"/>
      <c r="AL8" s="2367"/>
      <c r="AM8" s="2367"/>
    </row>
    <row r="9" spans="1:40" ht="12.95" customHeight="1">
      <c r="B9" s="406"/>
      <c r="T9" s="2367"/>
      <c r="U9" s="2367"/>
      <c r="V9" s="2367"/>
      <c r="W9" s="2367"/>
      <c r="X9" s="2367"/>
      <c r="Y9" s="2367"/>
      <c r="Z9" s="2367"/>
      <c r="AA9" s="2367"/>
      <c r="AB9" s="2367"/>
      <c r="AC9" s="2367"/>
      <c r="AD9" s="2367"/>
      <c r="AE9" s="2367"/>
      <c r="AF9" s="2367"/>
      <c r="AG9" s="2367"/>
      <c r="AH9" s="2367"/>
      <c r="AI9" s="2367"/>
      <c r="AJ9" s="2367"/>
      <c r="AK9" s="2367"/>
      <c r="AL9" s="2367"/>
      <c r="AM9" s="2367"/>
    </row>
    <row r="10" spans="1:40" ht="12.95" customHeight="1">
      <c r="B10" s="407"/>
      <c r="C10" s="408"/>
      <c r="D10" s="408"/>
      <c r="E10" s="408"/>
      <c r="F10" s="408"/>
      <c r="G10" s="408"/>
      <c r="H10" s="408"/>
      <c r="I10" s="408"/>
      <c r="J10" s="408"/>
      <c r="K10" s="408"/>
      <c r="L10" s="408"/>
      <c r="M10" s="408"/>
      <c r="N10" s="408"/>
      <c r="O10" s="408"/>
      <c r="P10" s="408"/>
      <c r="Q10" s="408"/>
      <c r="R10" s="408"/>
      <c r="S10" s="408"/>
      <c r="T10" s="2367"/>
      <c r="U10" s="2367"/>
      <c r="V10" s="2367"/>
      <c r="W10" s="2367"/>
      <c r="X10" s="2367"/>
      <c r="Y10" s="2367"/>
      <c r="Z10" s="2367"/>
      <c r="AA10" s="2367"/>
      <c r="AB10" s="2367"/>
      <c r="AC10" s="2367"/>
      <c r="AD10" s="2367"/>
      <c r="AE10" s="2367"/>
      <c r="AF10" s="2367"/>
      <c r="AG10" s="2367"/>
      <c r="AH10" s="2367"/>
      <c r="AI10" s="2367"/>
      <c r="AJ10" s="2367"/>
      <c r="AK10" s="2367"/>
      <c r="AL10" s="2367"/>
      <c r="AM10" s="2367"/>
    </row>
    <row r="11" spans="1:40" ht="12.95" customHeight="1">
      <c r="B11" s="2353" t="s">
        <v>375</v>
      </c>
      <c r="C11" s="2354"/>
      <c r="D11" s="2354"/>
      <c r="E11" s="2354"/>
      <c r="F11" s="2354"/>
      <c r="G11" s="2354"/>
      <c r="H11" s="2354"/>
      <c r="I11" s="2354"/>
      <c r="J11" s="2354"/>
      <c r="K11" s="2354"/>
      <c r="L11" s="2354"/>
      <c r="M11" s="2354"/>
      <c r="N11" s="2354"/>
      <c r="O11" s="2354"/>
      <c r="P11" s="2354"/>
      <c r="Q11" s="2354"/>
      <c r="R11" s="2354"/>
      <c r="S11" s="2355"/>
      <c r="T11" s="2389">
        <f>IF('Sources and Basis Breakdown'!F107=0,'Sources and Basis Breakdown'!E107,'Sources and Basis Breakdown'!F107)</f>
        <v>79517552</v>
      </c>
      <c r="U11" s="2390"/>
      <c r="V11" s="2390"/>
      <c r="W11" s="2390"/>
      <c r="X11" s="2390"/>
      <c r="Y11" s="2389">
        <f>IF(Y7="",0,IF('Sources and Basis Breakdown'!G107+'Sources and Basis Breakdown'!F107='Sources and Basis Breakdown'!E107,'Sources and Basis Breakdown'!G107,0))</f>
        <v>0</v>
      </c>
      <c r="Z11" s="2390"/>
      <c r="AA11" s="2390"/>
      <c r="AB11" s="2390"/>
      <c r="AC11" s="2390"/>
      <c r="AD11" s="2390">
        <f>IF('Sources and Basis Breakdown'!I107=0,'Sources and Basis Breakdown'!H107,'Sources and Basis Breakdown'!I107)</f>
        <v>0</v>
      </c>
      <c r="AE11" s="2390"/>
      <c r="AF11" s="2390"/>
      <c r="AG11" s="2390"/>
      <c r="AH11" s="2390"/>
      <c r="AI11" s="2390">
        <f>IF(Y7="",0,IF('Sources and Basis Breakdown'!I107+'Sources and Basis Breakdown'!J107='Sources and Basis Breakdown'!H107,'Sources and Basis Breakdown'!J107,0))</f>
        <v>0</v>
      </c>
      <c r="AJ11" s="2390"/>
      <c r="AK11" s="2390"/>
      <c r="AL11" s="2390"/>
      <c r="AM11" s="2390"/>
    </row>
    <row r="12" spans="1:40" ht="12.95" customHeight="1">
      <c r="B12" s="2391" t="s">
        <v>498</v>
      </c>
      <c r="C12" s="1312"/>
      <c r="D12" s="1312"/>
      <c r="E12" s="1312"/>
      <c r="F12" s="1312"/>
      <c r="G12" s="1312"/>
      <c r="H12" s="1312"/>
      <c r="I12" s="1312"/>
      <c r="J12" s="1312"/>
      <c r="K12" s="1312"/>
      <c r="L12" s="1312"/>
      <c r="M12" s="1312"/>
      <c r="N12" s="1312"/>
      <c r="O12" s="1312"/>
      <c r="P12" s="1312"/>
      <c r="Q12" s="1312"/>
      <c r="R12" s="1312"/>
      <c r="S12" s="2392"/>
      <c r="T12" s="2382"/>
      <c r="U12" s="2383"/>
      <c r="V12" s="2383"/>
      <c r="W12" s="2383"/>
      <c r="X12" s="2384"/>
      <c r="Y12" s="2382"/>
      <c r="Z12" s="2383"/>
      <c r="AA12" s="2383"/>
      <c r="AB12" s="2383"/>
      <c r="AC12" s="2384"/>
      <c r="AD12" s="2382"/>
      <c r="AE12" s="2383"/>
      <c r="AF12" s="2383"/>
      <c r="AG12" s="2383"/>
      <c r="AH12" s="2384"/>
      <c r="AI12" s="2382"/>
      <c r="AJ12" s="2383"/>
      <c r="AK12" s="2383"/>
      <c r="AL12" s="2383"/>
      <c r="AM12" s="2384"/>
    </row>
    <row r="13" spans="1:40" ht="12.95" customHeight="1">
      <c r="B13" s="434"/>
      <c r="C13" s="2393" t="s">
        <v>499</v>
      </c>
      <c r="D13" s="2393"/>
      <c r="E13" s="2393"/>
      <c r="F13" s="2393"/>
      <c r="G13" s="2393"/>
      <c r="H13" s="2393"/>
      <c r="I13" s="2393"/>
      <c r="J13" s="2393"/>
      <c r="K13" s="2393"/>
      <c r="L13" s="2393"/>
      <c r="M13" s="2393"/>
      <c r="N13" s="2393"/>
      <c r="O13" s="2393"/>
      <c r="P13" s="2393"/>
      <c r="Q13" s="2393"/>
      <c r="R13" s="2393"/>
      <c r="S13" s="2394"/>
      <c r="T13" s="2385"/>
      <c r="U13" s="2386"/>
      <c r="V13" s="2386"/>
      <c r="W13" s="2386"/>
      <c r="X13" s="2386"/>
      <c r="Y13" s="2385"/>
      <c r="Z13" s="2386"/>
      <c r="AA13" s="2386"/>
      <c r="AB13" s="2386"/>
      <c r="AC13" s="2386"/>
      <c r="AD13" s="2386"/>
      <c r="AE13" s="2386"/>
      <c r="AF13" s="2386"/>
      <c r="AG13" s="2386"/>
      <c r="AH13" s="2386"/>
      <c r="AI13" s="2386"/>
      <c r="AJ13" s="2386"/>
      <c r="AK13" s="2386"/>
      <c r="AL13" s="2386"/>
      <c r="AM13" s="2386"/>
    </row>
    <row r="14" spans="1:40" ht="12.95" customHeight="1">
      <c r="B14" s="434"/>
      <c r="C14" s="2393" t="s">
        <v>500</v>
      </c>
      <c r="D14" s="2393"/>
      <c r="E14" s="2393"/>
      <c r="F14" s="2393"/>
      <c r="G14" s="2393"/>
      <c r="H14" s="2393"/>
      <c r="I14" s="2393"/>
      <c r="J14" s="2393"/>
      <c r="K14" s="2393"/>
      <c r="L14" s="2393"/>
      <c r="M14" s="2393"/>
      <c r="N14" s="2393"/>
      <c r="O14" s="2393"/>
      <c r="P14" s="2393"/>
      <c r="Q14" s="2393"/>
      <c r="R14" s="2393"/>
      <c r="S14" s="2394"/>
      <c r="T14" s="2375"/>
      <c r="U14" s="2376"/>
      <c r="V14" s="2376"/>
      <c r="W14" s="2376"/>
      <c r="X14" s="2376"/>
      <c r="Y14" s="2375"/>
      <c r="Z14" s="2376"/>
      <c r="AA14" s="2376"/>
      <c r="AB14" s="2376"/>
      <c r="AC14" s="2376"/>
      <c r="AD14" s="2376"/>
      <c r="AE14" s="2376"/>
      <c r="AF14" s="2376"/>
      <c r="AG14" s="2376"/>
      <c r="AH14" s="2376"/>
      <c r="AI14" s="2376"/>
      <c r="AJ14" s="2376"/>
      <c r="AK14" s="2376"/>
      <c r="AL14" s="2376"/>
      <c r="AM14" s="2376"/>
    </row>
    <row r="15" spans="1:40" ht="12.95" customHeight="1">
      <c r="B15" s="434"/>
      <c r="C15" s="2393" t="s">
        <v>501</v>
      </c>
      <c r="D15" s="2393"/>
      <c r="E15" s="2393"/>
      <c r="F15" s="2393"/>
      <c r="G15" s="2393"/>
      <c r="H15" s="2393"/>
      <c r="I15" s="2393"/>
      <c r="J15" s="2393"/>
      <c r="K15" s="2393"/>
      <c r="L15" s="2393"/>
      <c r="M15" s="2393"/>
      <c r="N15" s="2393"/>
      <c r="O15" s="2393"/>
      <c r="P15" s="2393"/>
      <c r="Q15" s="2393"/>
      <c r="R15" s="2393"/>
      <c r="S15" s="2394"/>
      <c r="T15" s="2375"/>
      <c r="U15" s="2376"/>
      <c r="V15" s="2376"/>
      <c r="W15" s="2376"/>
      <c r="X15" s="2376"/>
      <c r="Y15" s="2375"/>
      <c r="Z15" s="2376"/>
      <c r="AA15" s="2376"/>
      <c r="AB15" s="2376"/>
      <c r="AC15" s="2376"/>
      <c r="AD15" s="2376"/>
      <c r="AE15" s="2376"/>
      <c r="AF15" s="2376"/>
      <c r="AG15" s="2376"/>
      <c r="AH15" s="2376"/>
      <c r="AI15" s="2376"/>
      <c r="AJ15" s="2376"/>
      <c r="AK15" s="2376"/>
      <c r="AL15" s="2376"/>
      <c r="AM15" s="2376"/>
    </row>
    <row r="16" spans="1:40" ht="12.95" customHeight="1">
      <c r="B16" s="434"/>
      <c r="C16" s="2393" t="s">
        <v>806</v>
      </c>
      <c r="D16" s="2393"/>
      <c r="E16" s="2393"/>
      <c r="F16" s="2393"/>
      <c r="G16" s="2393"/>
      <c r="H16" s="2393"/>
      <c r="I16" s="2393"/>
      <c r="J16" s="2393"/>
      <c r="K16" s="2393"/>
      <c r="L16" s="2393"/>
      <c r="M16" s="2393"/>
      <c r="N16" s="2393"/>
      <c r="O16" s="2393"/>
      <c r="P16" s="2393"/>
      <c r="Q16" s="2393"/>
      <c r="R16" s="2393"/>
      <c r="S16" s="2394"/>
      <c r="T16" s="2375"/>
      <c r="U16" s="2376"/>
      <c r="V16" s="2376"/>
      <c r="W16" s="2376"/>
      <c r="X16" s="2376"/>
      <c r="Y16" s="2375"/>
      <c r="Z16" s="2376"/>
      <c r="AA16" s="2376"/>
      <c r="AB16" s="2376"/>
      <c r="AC16" s="2376"/>
      <c r="AD16" s="2376"/>
      <c r="AE16" s="2376"/>
      <c r="AF16" s="2376"/>
      <c r="AG16" s="2376"/>
      <c r="AH16" s="2376"/>
      <c r="AI16" s="2376"/>
      <c r="AJ16" s="2376"/>
      <c r="AK16" s="2376"/>
      <c r="AL16" s="2376"/>
      <c r="AM16" s="2376"/>
    </row>
    <row r="17" spans="1:40" ht="12.95" customHeight="1">
      <c r="B17" s="434"/>
      <c r="C17" s="2393" t="s">
        <v>502</v>
      </c>
      <c r="D17" s="2393"/>
      <c r="E17" s="2393"/>
      <c r="F17" s="2393"/>
      <c r="G17" s="2393"/>
      <c r="H17" s="2393"/>
      <c r="I17" s="2393"/>
      <c r="J17" s="2393"/>
      <c r="K17" s="2393"/>
      <c r="L17" s="2393"/>
      <c r="M17" s="2393"/>
      <c r="N17" s="2393"/>
      <c r="O17" s="2393"/>
      <c r="P17" s="2393"/>
      <c r="Q17" s="2393"/>
      <c r="R17" s="2393"/>
      <c r="S17" s="2394"/>
      <c r="T17" s="2375"/>
      <c r="U17" s="2376"/>
      <c r="V17" s="2376"/>
      <c r="W17" s="2376"/>
      <c r="X17" s="2376"/>
      <c r="Y17" s="2375"/>
      <c r="Z17" s="2376"/>
      <c r="AA17" s="2376"/>
      <c r="AB17" s="2376"/>
      <c r="AC17" s="2376"/>
      <c r="AD17" s="2376"/>
      <c r="AE17" s="2376"/>
      <c r="AF17" s="2376"/>
      <c r="AG17" s="2376"/>
      <c r="AH17" s="2376"/>
      <c r="AI17" s="2376"/>
      <c r="AJ17" s="2376"/>
      <c r="AK17" s="2376"/>
      <c r="AL17" s="2376"/>
      <c r="AM17" s="2376"/>
    </row>
    <row r="18" spans="1:40" ht="12.95" customHeight="1">
      <c r="A18"/>
      <c r="B18" s="1149"/>
      <c r="C18" s="1581" t="s">
        <v>961</v>
      </c>
      <c r="D18" s="1581"/>
      <c r="E18" s="1581"/>
      <c r="F18" s="1581"/>
      <c r="G18" s="1581"/>
      <c r="H18" s="1581"/>
      <c r="I18" s="1581"/>
      <c r="J18" s="1581"/>
      <c r="K18" s="1581"/>
      <c r="L18" s="1581"/>
      <c r="M18" s="1581"/>
      <c r="N18" s="1581"/>
      <c r="O18" s="1581"/>
      <c r="P18" s="1581"/>
      <c r="Q18" s="1581"/>
      <c r="R18" s="1581"/>
      <c r="S18" s="1582"/>
      <c r="T18" s="2375"/>
      <c r="U18" s="2376"/>
      <c r="V18" s="2376"/>
      <c r="W18" s="2376"/>
      <c r="X18" s="2376"/>
      <c r="Y18" s="2375"/>
      <c r="Z18" s="2376"/>
      <c r="AA18" s="2376"/>
      <c r="AB18" s="2376"/>
      <c r="AC18" s="2376"/>
      <c r="AD18" s="2376"/>
      <c r="AE18" s="2376"/>
      <c r="AF18" s="2376"/>
      <c r="AG18" s="2376"/>
      <c r="AH18" s="2376"/>
      <c r="AI18" s="2376"/>
      <c r="AJ18" s="2376"/>
      <c r="AK18" s="2376"/>
      <c r="AL18" s="2376"/>
      <c r="AM18" s="2376"/>
    </row>
    <row r="19" spans="1:40" ht="12.95" customHeight="1">
      <c r="B19" s="1149"/>
      <c r="C19" s="1581" t="s">
        <v>961</v>
      </c>
      <c r="D19" s="1581"/>
      <c r="E19" s="1581"/>
      <c r="F19" s="1581"/>
      <c r="G19" s="1581"/>
      <c r="H19" s="1581"/>
      <c r="I19" s="1581"/>
      <c r="J19" s="1581"/>
      <c r="K19" s="1581"/>
      <c r="L19" s="1581"/>
      <c r="M19" s="1581"/>
      <c r="N19" s="1581"/>
      <c r="O19" s="1581"/>
      <c r="P19" s="1581"/>
      <c r="Q19" s="1581"/>
      <c r="R19" s="1581"/>
      <c r="S19" s="1582"/>
      <c r="T19" s="2375"/>
      <c r="U19" s="2376"/>
      <c r="V19" s="2376"/>
      <c r="W19" s="2376"/>
      <c r="X19" s="2376"/>
      <c r="Y19" s="2375"/>
      <c r="Z19" s="2376"/>
      <c r="AA19" s="2376"/>
      <c r="AB19" s="2376"/>
      <c r="AC19" s="2376"/>
      <c r="AD19" s="2376"/>
      <c r="AE19" s="2376"/>
      <c r="AF19" s="2376"/>
      <c r="AG19" s="2376"/>
      <c r="AH19" s="2376"/>
      <c r="AI19" s="2376"/>
      <c r="AJ19" s="2376"/>
      <c r="AK19" s="2376"/>
      <c r="AL19" s="2376"/>
      <c r="AM19" s="2376"/>
    </row>
    <row r="20" spans="1:40" ht="12.95" customHeight="1">
      <c r="B20" s="2353" t="s">
        <v>503</v>
      </c>
      <c r="C20" s="2354"/>
      <c r="D20" s="2354"/>
      <c r="E20" s="2354"/>
      <c r="F20" s="2354"/>
      <c r="G20" s="2354"/>
      <c r="H20" s="2354"/>
      <c r="I20" s="2354"/>
      <c r="J20" s="2354"/>
      <c r="K20" s="2354"/>
      <c r="L20" s="2354"/>
      <c r="M20" s="2354"/>
      <c r="N20" s="2354"/>
      <c r="O20" s="2354"/>
      <c r="P20" s="2354"/>
      <c r="Q20" s="2354"/>
      <c r="R20" s="2354"/>
      <c r="S20" s="2355"/>
      <c r="T20" s="2366">
        <f>SUM(T13:X19)</f>
        <v>0</v>
      </c>
      <c r="U20" s="2347"/>
      <c r="V20" s="2347"/>
      <c r="W20" s="2347"/>
      <c r="X20" s="2347"/>
      <c r="Y20" s="2366">
        <f>SUM(Y13:AC19)</f>
        <v>0</v>
      </c>
      <c r="Z20" s="2347"/>
      <c r="AA20" s="2347"/>
      <c r="AB20" s="2347"/>
      <c r="AC20" s="2347"/>
      <c r="AD20" s="2357">
        <f>SUM(AD13:AH19)</f>
        <v>0</v>
      </c>
      <c r="AE20" s="2365"/>
      <c r="AF20" s="2365"/>
      <c r="AG20" s="2365"/>
      <c r="AH20" s="2366"/>
      <c r="AI20" s="2357">
        <f>SUM(AI13:AM19)</f>
        <v>0</v>
      </c>
      <c r="AJ20" s="2365"/>
      <c r="AK20" s="2365"/>
      <c r="AL20" s="2365"/>
      <c r="AM20" s="2366"/>
    </row>
    <row r="21" spans="1:40" ht="12.95" customHeight="1">
      <c r="B21" s="2353" t="s">
        <v>1264</v>
      </c>
      <c r="C21" s="2354"/>
      <c r="D21" s="2354"/>
      <c r="E21" s="2354"/>
      <c r="F21" s="2354"/>
      <c r="G21" s="2354"/>
      <c r="H21" s="2354"/>
      <c r="I21" s="2354"/>
      <c r="J21" s="2354"/>
      <c r="K21" s="2354"/>
      <c r="L21" s="2354"/>
      <c r="M21" s="2354"/>
      <c r="N21" s="2354"/>
      <c r="O21" s="2354"/>
      <c r="P21" s="2354"/>
      <c r="Q21" s="2354"/>
      <c r="R21" s="2354"/>
      <c r="S21" s="2355"/>
      <c r="T21" s="2375"/>
      <c r="U21" s="2376"/>
      <c r="V21" s="2376"/>
      <c r="W21" s="2376"/>
      <c r="X21" s="2376"/>
      <c r="Y21" s="2375"/>
      <c r="Z21" s="2376"/>
      <c r="AA21" s="2376"/>
      <c r="AB21" s="2376"/>
      <c r="AC21" s="2376"/>
      <c r="AD21" s="2382"/>
      <c r="AE21" s="2383"/>
      <c r="AF21" s="2383"/>
      <c r="AG21" s="2383"/>
      <c r="AH21" s="2384"/>
      <c r="AI21" s="2382"/>
      <c r="AJ21" s="2383"/>
      <c r="AK21" s="2383"/>
      <c r="AL21" s="2383"/>
      <c r="AM21" s="2384"/>
    </row>
    <row r="22" spans="1:40" ht="12.95" customHeight="1">
      <c r="B22" s="2353" t="s">
        <v>504</v>
      </c>
      <c r="C22" s="2354"/>
      <c r="D22" s="2354"/>
      <c r="E22" s="2354"/>
      <c r="F22" s="2354"/>
      <c r="G22" s="2354"/>
      <c r="H22" s="2354"/>
      <c r="I22" s="2354"/>
      <c r="J22" s="2354"/>
      <c r="K22" s="2354"/>
      <c r="L22" s="2354"/>
      <c r="M22" s="2354"/>
      <c r="N22" s="2354"/>
      <c r="O22" s="2354"/>
      <c r="P22" s="2354"/>
      <c r="Q22" s="2354"/>
      <c r="R22" s="2354"/>
      <c r="S22" s="2355"/>
      <c r="T22" s="2371">
        <f>(ABS(T20)+ABS(T21))*-1</f>
        <v>0</v>
      </c>
      <c r="U22" s="2372"/>
      <c r="V22" s="2372"/>
      <c r="W22" s="2372"/>
      <c r="X22" s="2372"/>
      <c r="Y22" s="2371">
        <f>(Y20+Y21)*-1</f>
        <v>0</v>
      </c>
      <c r="Z22" s="2372"/>
      <c r="AA22" s="2372"/>
      <c r="AB22" s="2372"/>
      <c r="AC22" s="2372"/>
      <c r="AD22" s="2373">
        <f>(AD20)*-1</f>
        <v>0</v>
      </c>
      <c r="AE22" s="2374"/>
      <c r="AF22" s="2374"/>
      <c r="AG22" s="2374"/>
      <c r="AH22" s="2371"/>
      <c r="AI22" s="2373">
        <f>(AI20)*-1</f>
        <v>0</v>
      </c>
      <c r="AJ22" s="2374"/>
      <c r="AK22" s="2374"/>
      <c r="AL22" s="2374"/>
      <c r="AM22" s="2371"/>
    </row>
    <row r="23" spans="1:40" ht="12.95" customHeight="1">
      <c r="B23" s="2353" t="s">
        <v>505</v>
      </c>
      <c r="C23" s="2354"/>
      <c r="D23" s="2354"/>
      <c r="E23" s="2354"/>
      <c r="F23" s="2354"/>
      <c r="G23" s="2354"/>
      <c r="H23" s="2354"/>
      <c r="I23" s="2354"/>
      <c r="J23" s="2354"/>
      <c r="K23" s="2354"/>
      <c r="L23" s="2354"/>
      <c r="M23" s="2354"/>
      <c r="N23" s="2354"/>
      <c r="O23" s="2354"/>
      <c r="P23" s="2354"/>
      <c r="Q23" s="2354"/>
      <c r="R23" s="2354"/>
      <c r="S23" s="2355"/>
      <c r="T23" s="2366">
        <f>T11+T22</f>
        <v>79517552</v>
      </c>
      <c r="U23" s="2347"/>
      <c r="V23" s="2347"/>
      <c r="W23" s="2347"/>
      <c r="X23" s="2347"/>
      <c r="Y23" s="2366">
        <f>Y11+Y22</f>
        <v>0</v>
      </c>
      <c r="Z23" s="2347"/>
      <c r="AA23" s="2347"/>
      <c r="AB23" s="2347"/>
      <c r="AC23" s="2347"/>
      <c r="AD23" s="2366">
        <f>AD11+AD22</f>
        <v>0</v>
      </c>
      <c r="AE23" s="2347"/>
      <c r="AF23" s="2347"/>
      <c r="AG23" s="2347"/>
      <c r="AH23" s="2347"/>
      <c r="AI23" s="2366">
        <f>AI11+AI22</f>
        <v>0</v>
      </c>
      <c r="AJ23" s="2347"/>
      <c r="AK23" s="2347"/>
      <c r="AL23" s="2347"/>
      <c r="AM23" s="2347"/>
    </row>
    <row r="24" spans="1:40" ht="12.95" customHeight="1">
      <c r="B24" s="2353" t="s">
        <v>962</v>
      </c>
      <c r="C24" s="2354"/>
      <c r="D24" s="2354"/>
      <c r="E24" s="2354"/>
      <c r="F24" s="2354"/>
      <c r="G24" s="2354"/>
      <c r="H24" s="2354"/>
      <c r="I24" s="2354"/>
      <c r="J24" s="2354"/>
      <c r="K24" s="2354"/>
      <c r="L24" s="2354"/>
      <c r="M24" s="2354"/>
      <c r="N24" s="2354"/>
      <c r="O24" s="2354"/>
      <c r="P24" s="2354"/>
      <c r="Q24" s="2354"/>
      <c r="R24" s="2354"/>
      <c r="S24" s="2355"/>
      <c r="T24" s="2357">
        <f>Application!AJ1053</f>
        <v>162653269</v>
      </c>
      <c r="U24" s="2365"/>
      <c r="V24" s="2365"/>
      <c r="W24" s="2365"/>
      <c r="X24" s="2365"/>
      <c r="Y24" s="2365"/>
      <c r="Z24" s="2365"/>
      <c r="AA24" s="2365"/>
      <c r="AB24" s="2365"/>
      <c r="AC24" s="2365"/>
      <c r="AD24" s="2365"/>
      <c r="AE24" s="2365"/>
      <c r="AF24" s="2365"/>
      <c r="AG24" s="2365"/>
      <c r="AH24" s="2365"/>
      <c r="AI24" s="2365"/>
      <c r="AJ24" s="2365"/>
      <c r="AK24" s="2365"/>
      <c r="AL24" s="2365"/>
      <c r="AM24" s="2366"/>
    </row>
    <row r="25" spans="1:40" ht="12.95" customHeight="1">
      <c r="B25" s="2397" t="s">
        <v>1265</v>
      </c>
      <c r="C25" s="2398"/>
      <c r="D25" s="2398"/>
      <c r="E25" s="2398"/>
      <c r="F25" s="2398"/>
      <c r="G25" s="2398"/>
      <c r="H25" s="2398"/>
      <c r="I25" s="2398"/>
      <c r="J25" s="2398"/>
      <c r="K25" s="2398"/>
      <c r="L25" s="2398"/>
      <c r="M25" s="2398"/>
      <c r="N25" s="2398"/>
      <c r="O25" s="2398"/>
      <c r="P25" s="2398"/>
      <c r="Q25" s="2398"/>
      <c r="R25" s="2398"/>
      <c r="S25" s="2399"/>
      <c r="T25" s="2379">
        <f>IF(OR(Application!T196="yes",Application!T195="yes"),1.3,1)</f>
        <v>1.3</v>
      </c>
      <c r="U25" s="2380"/>
      <c r="V25" s="2380"/>
      <c r="W25" s="2380"/>
      <c r="X25" s="2380"/>
      <c r="Y25" s="2379">
        <v>1</v>
      </c>
      <c r="Z25" s="2380"/>
      <c r="AA25" s="2380"/>
      <c r="AB25" s="2380"/>
      <c r="AC25" s="2380"/>
      <c r="AD25" s="2379">
        <v>1</v>
      </c>
      <c r="AE25" s="2380"/>
      <c r="AF25" s="2380"/>
      <c r="AG25" s="2380"/>
      <c r="AH25" s="2381"/>
      <c r="AI25" s="2379">
        <v>1</v>
      </c>
      <c r="AJ25" s="2380"/>
      <c r="AK25" s="2380"/>
      <c r="AL25" s="2380"/>
      <c r="AM25" s="2381"/>
    </row>
    <row r="26" spans="1:40" ht="12.95" customHeight="1">
      <c r="B26" s="2353" t="s">
        <v>506</v>
      </c>
      <c r="C26" s="2354"/>
      <c r="D26" s="2354"/>
      <c r="E26" s="2354"/>
      <c r="F26" s="2354"/>
      <c r="G26" s="2354"/>
      <c r="H26" s="2354"/>
      <c r="I26" s="2354"/>
      <c r="J26" s="2354"/>
      <c r="K26" s="2354"/>
      <c r="L26" s="2354"/>
      <c r="M26" s="2354"/>
      <c r="N26" s="2354"/>
      <c r="O26" s="2354"/>
      <c r="P26" s="2354"/>
      <c r="Q26" s="2354"/>
      <c r="R26" s="2354"/>
      <c r="S26" s="2355"/>
      <c r="T26" s="2366">
        <f>T23*T25</f>
        <v>103372817.60000001</v>
      </c>
      <c r="U26" s="2347"/>
      <c r="V26" s="2347"/>
      <c r="W26" s="2347"/>
      <c r="X26" s="2347"/>
      <c r="Y26" s="2366">
        <f>Y23*Y25</f>
        <v>0</v>
      </c>
      <c r="Z26" s="2347"/>
      <c r="AA26" s="2347"/>
      <c r="AB26" s="2347"/>
      <c r="AC26" s="2347"/>
      <c r="AD26" s="2366">
        <f>AD23*AD25</f>
        <v>0</v>
      </c>
      <c r="AE26" s="2347"/>
      <c r="AF26" s="2347"/>
      <c r="AG26" s="2347"/>
      <c r="AH26" s="2347"/>
      <c r="AI26" s="2366">
        <f>AI23*AI25</f>
        <v>0</v>
      </c>
      <c r="AJ26" s="2347"/>
      <c r="AK26" s="2347"/>
      <c r="AL26" s="2347"/>
      <c r="AM26" s="2347"/>
    </row>
    <row r="27" spans="1:40" ht="12.95" customHeight="1">
      <c r="A27" s="409"/>
      <c r="B27" s="2400" t="s">
        <v>426</v>
      </c>
      <c r="C27" s="2401"/>
      <c r="D27" s="2401"/>
      <c r="E27" s="2401"/>
      <c r="F27" s="2401"/>
      <c r="G27" s="2401"/>
      <c r="H27" s="2401"/>
      <c r="I27" s="2401"/>
      <c r="J27" s="2401"/>
      <c r="K27" s="2401"/>
      <c r="L27" s="2401"/>
      <c r="M27" s="2401"/>
      <c r="N27" s="2401"/>
      <c r="O27" s="2401"/>
      <c r="P27" s="2401"/>
      <c r="Q27" s="2401"/>
      <c r="R27" s="2401"/>
      <c r="S27" s="2402"/>
      <c r="T27" s="2377">
        <f>Application!$AG$445</f>
        <v>1</v>
      </c>
      <c r="U27" s="2378"/>
      <c r="V27" s="2378"/>
      <c r="W27" s="2378"/>
      <c r="X27" s="2378"/>
      <c r="Y27" s="2377">
        <f>Application!$AG$445</f>
        <v>1</v>
      </c>
      <c r="Z27" s="2378"/>
      <c r="AA27" s="2378"/>
      <c r="AB27" s="2378"/>
      <c r="AC27" s="2378"/>
      <c r="AD27" s="2377">
        <f>Application!$AG$445</f>
        <v>1</v>
      </c>
      <c r="AE27" s="2378"/>
      <c r="AF27" s="2378"/>
      <c r="AG27" s="2378"/>
      <c r="AH27" s="2378"/>
      <c r="AI27" s="2377">
        <f>Application!$AG$445</f>
        <v>1</v>
      </c>
      <c r="AJ27" s="2378"/>
      <c r="AK27" s="2378"/>
      <c r="AL27" s="2378"/>
      <c r="AM27" s="2378"/>
    </row>
    <row r="28" spans="1:40" ht="12.95" customHeight="1">
      <c r="A28" s="403"/>
      <c r="B28" s="2353" t="s">
        <v>507</v>
      </c>
      <c r="C28" s="2354"/>
      <c r="D28" s="2354"/>
      <c r="E28" s="2354"/>
      <c r="F28" s="2354"/>
      <c r="G28" s="2354"/>
      <c r="H28" s="2354"/>
      <c r="I28" s="2354"/>
      <c r="J28" s="2354"/>
      <c r="K28" s="2354"/>
      <c r="L28" s="2354"/>
      <c r="M28" s="2354"/>
      <c r="N28" s="2354"/>
      <c r="O28" s="2354"/>
      <c r="P28" s="2354"/>
      <c r="Q28" s="2354"/>
      <c r="R28" s="2354"/>
      <c r="S28" s="2355"/>
      <c r="T28" s="2366">
        <f>IF(ISERROR((T26*T27)),0,(T26*T27))</f>
        <v>103372817.60000001</v>
      </c>
      <c r="U28" s="2347"/>
      <c r="V28" s="2347"/>
      <c r="W28" s="2347"/>
      <c r="X28" s="2347"/>
      <c r="Y28" s="2366">
        <f>IF(ISERROR((Y26*Y27)),0,(Y26*Y27))</f>
        <v>0</v>
      </c>
      <c r="Z28" s="2347"/>
      <c r="AA28" s="2347"/>
      <c r="AB28" s="2347"/>
      <c r="AC28" s="2347"/>
      <c r="AD28" s="2366">
        <f>IF(ISERROR((AD26*AD27)),0,(AD26*AD27))</f>
        <v>0</v>
      </c>
      <c r="AE28" s="2347"/>
      <c r="AF28" s="2347"/>
      <c r="AG28" s="2347"/>
      <c r="AH28" s="2347"/>
      <c r="AI28" s="2366">
        <f>IF(ISERROR((AI26*AI27)),0,(AI26*AI27))</f>
        <v>0</v>
      </c>
      <c r="AJ28" s="2347"/>
      <c r="AK28" s="2347"/>
      <c r="AL28" s="2347"/>
      <c r="AM28" s="2347"/>
    </row>
    <row r="29" spans="1:40" ht="12.95" customHeight="1">
      <c r="B29" s="2353" t="s">
        <v>524</v>
      </c>
      <c r="C29" s="2354"/>
      <c r="D29" s="2354"/>
      <c r="E29" s="2354"/>
      <c r="F29" s="2354"/>
      <c r="G29" s="2354"/>
      <c r="H29" s="2354"/>
      <c r="I29" s="2354"/>
      <c r="J29" s="2354"/>
      <c r="K29" s="2354"/>
      <c r="L29" s="2354"/>
      <c r="M29" s="2354"/>
      <c r="N29" s="2354"/>
      <c r="O29" s="2354"/>
      <c r="P29" s="2354"/>
      <c r="Q29" s="2354"/>
      <c r="R29" s="2354"/>
      <c r="S29" s="2355"/>
      <c r="T29" s="2357">
        <f>T28+Y28+AD28+AI28</f>
        <v>103372817.60000001</v>
      </c>
      <c r="U29" s="2365"/>
      <c r="V29" s="2365"/>
      <c r="W29" s="2365"/>
      <c r="X29" s="2365"/>
      <c r="Y29" s="2365"/>
      <c r="Z29" s="2365"/>
      <c r="AA29" s="2365"/>
      <c r="AB29" s="2365"/>
      <c r="AC29" s="2365"/>
      <c r="AD29" s="2365"/>
      <c r="AE29" s="2365"/>
      <c r="AF29" s="2365"/>
      <c r="AG29" s="2365"/>
      <c r="AH29" s="2365"/>
      <c r="AI29" s="2365"/>
      <c r="AJ29" s="2365"/>
      <c r="AK29" s="2365"/>
      <c r="AL29" s="2365"/>
      <c r="AM29" s="2366"/>
    </row>
    <row r="30" spans="1:40" ht="12.95" customHeight="1">
      <c r="B30" s="2370" t="s">
        <v>1267</v>
      </c>
      <c r="C30" s="2370"/>
      <c r="D30" s="2370"/>
      <c r="E30" s="2370"/>
      <c r="F30" s="2370"/>
      <c r="G30" s="2370"/>
      <c r="H30" s="2370"/>
      <c r="I30" s="2370"/>
      <c r="J30" s="2370"/>
      <c r="K30" s="2370"/>
      <c r="L30" s="2370"/>
      <c r="M30" s="2370"/>
      <c r="N30" s="2370"/>
      <c r="O30" s="2370"/>
      <c r="P30" s="2370"/>
      <c r="Q30" s="2370"/>
      <c r="R30" s="2370"/>
      <c r="S30" s="2370"/>
      <c r="T30" s="2370"/>
      <c r="U30" s="2370"/>
      <c r="V30" s="2370"/>
      <c r="W30" s="2370"/>
      <c r="X30" s="2370"/>
      <c r="Y30" s="2370"/>
      <c r="Z30" s="2370"/>
      <c r="AA30" s="2370"/>
      <c r="AB30" s="2370"/>
      <c r="AC30" s="2370"/>
      <c r="AD30" s="2370"/>
      <c r="AE30" s="2370"/>
      <c r="AF30" s="2370"/>
      <c r="AG30" s="2370"/>
      <c r="AH30" s="2370"/>
      <c r="AI30" s="2370"/>
      <c r="AJ30" s="2370"/>
      <c r="AK30" s="2370"/>
      <c r="AL30" s="2370"/>
      <c r="AM30" s="2370"/>
    </row>
    <row r="31" spans="1:40" ht="12.95" customHeight="1">
      <c r="B31" s="2370" t="s">
        <v>1266</v>
      </c>
      <c r="C31" s="2370"/>
      <c r="D31" s="2370"/>
      <c r="E31" s="2370"/>
      <c r="F31" s="2370"/>
      <c r="G31" s="2370"/>
      <c r="H31" s="2370"/>
      <c r="I31" s="2370"/>
      <c r="J31" s="2370"/>
      <c r="K31" s="2370"/>
      <c r="L31" s="2370"/>
      <c r="M31" s="2370"/>
      <c r="N31" s="2370"/>
      <c r="O31" s="2370"/>
      <c r="P31" s="2370"/>
      <c r="Q31" s="2370"/>
      <c r="R31" s="2370"/>
      <c r="S31" s="2370"/>
      <c r="T31" s="2370"/>
      <c r="U31" s="2370"/>
      <c r="V31" s="2370"/>
      <c r="W31" s="2370"/>
      <c r="X31" s="2370"/>
      <c r="Y31" s="2370"/>
      <c r="Z31" s="2370"/>
      <c r="AA31" s="2370"/>
      <c r="AB31" s="2370"/>
      <c r="AC31" s="2370"/>
      <c r="AD31" s="2370"/>
      <c r="AE31" s="2370"/>
      <c r="AF31" s="2370"/>
      <c r="AG31" s="2370"/>
      <c r="AH31" s="2370"/>
      <c r="AI31" s="2370"/>
      <c r="AJ31" s="2370"/>
      <c r="AK31" s="2370"/>
      <c r="AL31" s="2370"/>
      <c r="AM31" s="2370"/>
      <c r="AN31" s="517"/>
    </row>
    <row r="32" spans="1:40" ht="12.95" customHeight="1">
      <c r="B32" s="433"/>
      <c r="C32" s="510" t="s">
        <v>387</v>
      </c>
      <c r="D32" s="433"/>
      <c r="E32" s="433"/>
      <c r="F32" s="433"/>
      <c r="G32" s="433"/>
      <c r="H32" s="433"/>
      <c r="I32" s="433"/>
      <c r="J32" s="433"/>
      <c r="K32" s="433"/>
      <c r="L32" s="433"/>
      <c r="M32" s="433"/>
      <c r="N32" s="433"/>
      <c r="O32" s="433"/>
      <c r="P32" s="433"/>
      <c r="Q32" s="433"/>
      <c r="R32" s="433"/>
      <c r="S32" s="433"/>
      <c r="T32" s="433"/>
      <c r="U32" s="433"/>
      <c r="V32" s="433"/>
      <c r="W32" s="433"/>
      <c r="X32" s="433"/>
      <c r="Y32" s="433"/>
      <c r="Z32" s="433"/>
      <c r="AA32" s="433"/>
      <c r="AB32" s="433"/>
      <c r="AC32" s="433"/>
      <c r="AD32" s="433"/>
      <c r="AE32" s="433"/>
      <c r="AF32" s="433"/>
      <c r="AG32" s="433"/>
      <c r="AH32" s="433"/>
      <c r="AI32" s="433"/>
      <c r="AJ32" s="433"/>
      <c r="AK32" s="433"/>
      <c r="AL32" s="433"/>
      <c r="AM32" s="433"/>
    </row>
    <row r="34" spans="1:76" ht="12.95" customHeight="1">
      <c r="A34" s="403" t="s">
        <v>577</v>
      </c>
      <c r="C34" s="403" t="s">
        <v>569</v>
      </c>
    </row>
    <row r="35" spans="1:76" ht="12.95" customHeight="1">
      <c r="B35" s="404"/>
      <c r="C35" s="405"/>
      <c r="D35" s="405"/>
      <c r="E35" s="405"/>
      <c r="F35" s="405"/>
      <c r="G35" s="405"/>
      <c r="H35" s="405"/>
      <c r="I35" s="405"/>
      <c r="J35" s="405"/>
      <c r="K35" s="405"/>
      <c r="L35" s="405"/>
      <c r="M35" s="405"/>
      <c r="N35" s="405"/>
      <c r="O35" s="405"/>
      <c r="P35" s="405"/>
      <c r="Q35" s="405"/>
      <c r="R35" s="405"/>
      <c r="S35" s="405"/>
      <c r="T35" s="405"/>
      <c r="U35" s="405"/>
      <c r="V35" s="405"/>
      <c r="W35" s="405"/>
      <c r="X35" s="410"/>
      <c r="Y35" s="2367" t="s">
        <v>1155</v>
      </c>
      <c r="Z35" s="2367"/>
      <c r="AA35" s="2367"/>
      <c r="AB35" s="2367"/>
      <c r="AC35" s="2367"/>
      <c r="AD35" s="2368" t="s">
        <v>369</v>
      </c>
      <c r="AE35" s="2368"/>
      <c r="AF35" s="2368"/>
      <c r="AG35" s="2368"/>
      <c r="AH35" s="2368"/>
    </row>
    <row r="36" spans="1:76" ht="12.95" customHeight="1">
      <c r="B36" s="406"/>
      <c r="X36" s="411"/>
      <c r="Y36" s="2367"/>
      <c r="Z36" s="2367"/>
      <c r="AA36" s="2367"/>
      <c r="AB36" s="2367"/>
      <c r="AC36" s="2367"/>
      <c r="AD36" s="2368"/>
      <c r="AE36" s="2368"/>
      <c r="AF36" s="2368"/>
      <c r="AG36" s="2368"/>
      <c r="AH36" s="2368"/>
    </row>
    <row r="37" spans="1:76" ht="12.95" customHeight="1">
      <c r="B37" s="407"/>
      <c r="C37" s="408"/>
      <c r="D37" s="408"/>
      <c r="E37" s="408"/>
      <c r="F37" s="408"/>
      <c r="G37" s="408"/>
      <c r="H37" s="408"/>
      <c r="I37" s="408"/>
      <c r="J37" s="408"/>
      <c r="K37" s="408"/>
      <c r="L37" s="408"/>
      <c r="M37" s="408"/>
      <c r="N37" s="408"/>
      <c r="O37" s="408"/>
      <c r="P37" s="408"/>
      <c r="Q37" s="408"/>
      <c r="R37" s="408"/>
      <c r="S37" s="408"/>
      <c r="T37" s="408"/>
      <c r="U37" s="408"/>
      <c r="V37" s="408"/>
      <c r="W37" s="408"/>
      <c r="X37" s="412"/>
      <c r="Y37" s="2367"/>
      <c r="Z37" s="2367"/>
      <c r="AA37" s="2367"/>
      <c r="AB37" s="2367"/>
      <c r="AC37" s="2367"/>
      <c r="AD37" s="2368"/>
      <c r="AE37" s="2368"/>
      <c r="AF37" s="2368"/>
      <c r="AG37" s="2368"/>
      <c r="AH37" s="2368"/>
    </row>
    <row r="38" spans="1:76" ht="12.95" customHeight="1">
      <c r="A38" s="403"/>
      <c r="B38" s="2353" t="s">
        <v>507</v>
      </c>
      <c r="C38" s="2354"/>
      <c r="D38" s="2354"/>
      <c r="E38" s="2354"/>
      <c r="F38" s="2354"/>
      <c r="G38" s="2354"/>
      <c r="H38" s="2354"/>
      <c r="I38" s="2354"/>
      <c r="J38" s="2354"/>
      <c r="K38" s="2354"/>
      <c r="L38" s="2354"/>
      <c r="M38" s="2354"/>
      <c r="N38" s="2354"/>
      <c r="O38" s="2354"/>
      <c r="P38" s="2354"/>
      <c r="Q38" s="2354"/>
      <c r="R38" s="2354"/>
      <c r="S38" s="2354"/>
      <c r="T38" s="2354"/>
      <c r="U38" s="2354"/>
      <c r="V38" s="2354"/>
      <c r="W38" s="2354"/>
      <c r="X38" s="2355"/>
      <c r="Y38" s="2347">
        <f>IF(T24&gt;=(T23+Y23+AD23+AI23),T28+Y28,0)</f>
        <v>103372817.60000001</v>
      </c>
      <c r="Z38" s="2347"/>
      <c r="AA38" s="2347"/>
      <c r="AB38" s="2347"/>
      <c r="AC38" s="2347"/>
      <c r="AD38" s="2347">
        <f>IF(T24&gt;=(T23+Y23+AD23+AI23),AD28+AI28,0)</f>
        <v>0</v>
      </c>
      <c r="AE38" s="2347"/>
      <c r="AF38" s="2347"/>
      <c r="AG38" s="2347"/>
      <c r="AH38" s="2347"/>
    </row>
    <row r="39" spans="1:76" ht="12.95" customHeight="1">
      <c r="B39" s="2353" t="s">
        <v>1692</v>
      </c>
      <c r="C39" s="2354"/>
      <c r="D39" s="2354"/>
      <c r="E39" s="2354"/>
      <c r="F39" s="2354"/>
      <c r="G39" s="2354"/>
      <c r="H39" s="2354"/>
      <c r="I39" s="2354"/>
      <c r="J39" s="2354"/>
      <c r="K39" s="2354"/>
      <c r="L39" s="2354"/>
      <c r="M39" s="2354"/>
      <c r="N39" s="2354"/>
      <c r="O39" s="2354"/>
      <c r="P39" s="2354"/>
      <c r="Q39" s="2354"/>
      <c r="R39" s="2354"/>
      <c r="S39" s="2354"/>
      <c r="T39" s="2354"/>
      <c r="U39" s="2354"/>
      <c r="V39" s="2354"/>
      <c r="W39" s="2354"/>
      <c r="X39" s="2355"/>
      <c r="Y39" s="2369">
        <v>0.04</v>
      </c>
      <c r="Z39" s="2369"/>
      <c r="AA39" s="2369"/>
      <c r="AB39" s="2369"/>
      <c r="AC39" s="2369"/>
      <c r="AD39" s="2369">
        <v>0.04</v>
      </c>
      <c r="AE39" s="2369"/>
      <c r="AF39" s="2369"/>
      <c r="AG39" s="2369"/>
      <c r="AH39" s="2369"/>
    </row>
    <row r="40" spans="1:76" ht="12.95" customHeight="1">
      <c r="A40" s="403"/>
      <c r="B40" s="2353" t="s">
        <v>643</v>
      </c>
      <c r="C40" s="2354"/>
      <c r="D40" s="2354"/>
      <c r="E40" s="2354"/>
      <c r="F40" s="2354"/>
      <c r="G40" s="2354"/>
      <c r="H40" s="2354"/>
      <c r="I40" s="2354"/>
      <c r="J40" s="2354"/>
      <c r="K40" s="2354"/>
      <c r="L40" s="2354"/>
      <c r="M40" s="2354"/>
      <c r="N40" s="2354"/>
      <c r="O40" s="2354"/>
      <c r="P40" s="2354"/>
      <c r="Q40" s="2354"/>
      <c r="R40" s="2354"/>
      <c r="S40" s="2354"/>
      <c r="T40" s="2354"/>
      <c r="U40" s="2354"/>
      <c r="V40" s="2354"/>
      <c r="W40" s="2354"/>
      <c r="X40" s="2355"/>
      <c r="Y40" s="2347">
        <f>ROUND(Y38*Y39,0)</f>
        <v>4134913</v>
      </c>
      <c r="Z40" s="2347"/>
      <c r="AA40" s="2347"/>
      <c r="AB40" s="2347"/>
      <c r="AC40" s="2347"/>
      <c r="AD40" s="2366">
        <f>ROUND(AD38*AD39,0)</f>
        <v>0</v>
      </c>
      <c r="AE40" s="2347"/>
      <c r="AF40" s="2347"/>
      <c r="AG40" s="2347"/>
      <c r="AH40" s="2347"/>
    </row>
    <row r="41" spans="1:76" ht="12.95" customHeight="1">
      <c r="B41" s="2353" t="s">
        <v>644</v>
      </c>
      <c r="C41" s="2354"/>
      <c r="D41" s="2354"/>
      <c r="E41" s="2354"/>
      <c r="F41" s="2354"/>
      <c r="G41" s="2354"/>
      <c r="H41" s="2354"/>
      <c r="I41" s="2354"/>
      <c r="J41" s="2354"/>
      <c r="K41" s="2354"/>
      <c r="L41" s="2354"/>
      <c r="M41" s="2354"/>
      <c r="N41" s="2354"/>
      <c r="O41" s="2354"/>
      <c r="P41" s="2354"/>
      <c r="Q41" s="2354"/>
      <c r="R41" s="2354"/>
      <c r="S41" s="2354"/>
      <c r="T41" s="2354"/>
      <c r="U41" s="2354"/>
      <c r="V41" s="2354"/>
      <c r="W41" s="2354"/>
      <c r="X41" s="2355"/>
      <c r="Y41" s="2357">
        <f>Y40+AD40</f>
        <v>4134913</v>
      </c>
      <c r="Z41" s="2365"/>
      <c r="AA41" s="2365"/>
      <c r="AB41" s="2365"/>
      <c r="AC41" s="2365"/>
      <c r="AD41" s="2365"/>
      <c r="AE41" s="2365"/>
      <c r="AF41" s="2365"/>
      <c r="AG41" s="2365"/>
      <c r="AH41" s="2366"/>
    </row>
    <row r="42" spans="1:76" ht="12.95" customHeight="1">
      <c r="A42" s="403"/>
      <c r="B42" s="929"/>
      <c r="C42" s="929"/>
      <c r="D42" s="929"/>
      <c r="E42" s="929"/>
      <c r="F42" s="929"/>
      <c r="G42" s="929"/>
      <c r="H42" s="929"/>
      <c r="I42" s="929"/>
      <c r="J42" s="929"/>
      <c r="K42" s="929"/>
      <c r="L42" s="929"/>
      <c r="M42" s="929"/>
      <c r="N42" s="929"/>
      <c r="O42" s="929"/>
      <c r="P42" s="929"/>
      <c r="Q42" s="929"/>
      <c r="R42" s="929"/>
      <c r="S42" s="929"/>
      <c r="T42" s="929"/>
      <c r="U42" s="929"/>
      <c r="V42" s="929"/>
      <c r="W42" s="929"/>
      <c r="X42" s="929"/>
      <c r="Y42" s="929"/>
      <c r="Z42" s="929"/>
      <c r="AA42" s="929"/>
      <c r="AB42" s="929"/>
      <c r="AC42" s="929"/>
      <c r="AD42" s="929"/>
      <c r="AE42" s="929"/>
      <c r="AF42" s="929"/>
      <c r="AG42" s="929"/>
      <c r="AH42" s="929"/>
    </row>
    <row r="43" spans="1:76" ht="12.95" customHeight="1">
      <c r="B43" s="413"/>
      <c r="C43" s="413"/>
      <c r="D43" s="413"/>
      <c r="E43" s="413"/>
      <c r="F43" s="413"/>
      <c r="G43" s="413"/>
      <c r="H43" s="413"/>
      <c r="I43" s="413"/>
      <c r="J43" s="413"/>
      <c r="K43" s="413"/>
      <c r="L43" s="413"/>
      <c r="M43" s="413"/>
      <c r="N43" s="413"/>
      <c r="O43" s="413"/>
      <c r="P43" s="413"/>
      <c r="Q43" s="413"/>
      <c r="R43" s="413"/>
      <c r="S43" s="413"/>
      <c r="T43" s="413"/>
      <c r="U43" s="413"/>
      <c r="V43" s="413"/>
      <c r="W43" s="413"/>
      <c r="X43" s="413"/>
      <c r="Y43" s="413"/>
      <c r="Z43" s="413"/>
      <c r="AA43" s="413"/>
      <c r="AB43" s="413"/>
      <c r="AC43" s="413"/>
      <c r="AD43" s="413"/>
      <c r="AE43" s="413"/>
      <c r="AF43" s="413"/>
      <c r="AG43" s="413"/>
      <c r="AH43" s="413"/>
    </row>
    <row r="44" spans="1:76" s="204" customFormat="1" ht="12.95" customHeight="1" thickBot="1">
      <c r="A44" s="2364" t="s">
        <v>1277</v>
      </c>
      <c r="B44" s="2364"/>
      <c r="C44" s="2364"/>
      <c r="D44" s="2364"/>
      <c r="E44" s="2364"/>
      <c r="F44" s="2364"/>
      <c r="G44" s="2364"/>
      <c r="H44" s="2364"/>
      <c r="I44" s="2364"/>
      <c r="J44" s="2364"/>
      <c r="K44" s="2364"/>
      <c r="L44" s="2364"/>
      <c r="M44" s="2364"/>
      <c r="N44" s="2364"/>
      <c r="O44" s="2364"/>
      <c r="P44" s="2364"/>
      <c r="Q44" s="2364"/>
      <c r="R44" s="2364"/>
      <c r="S44" s="2364"/>
      <c r="T44" s="2364"/>
      <c r="U44" s="2364"/>
      <c r="V44" s="2364"/>
      <c r="W44" s="2364"/>
      <c r="X44" s="2364"/>
      <c r="Y44" s="2364"/>
      <c r="Z44" s="2364"/>
      <c r="AA44" s="2364"/>
      <c r="AB44" s="2364"/>
      <c r="AC44" s="2364"/>
      <c r="AD44" s="2364"/>
      <c r="AE44" s="2364"/>
      <c r="AF44" s="2364"/>
      <c r="AG44" s="2364"/>
      <c r="AH44" s="2364"/>
      <c r="AI44" s="2364"/>
      <c r="AJ44" s="2364"/>
      <c r="AK44" s="2364"/>
      <c r="AL44" s="2364"/>
      <c r="AM44" s="2364"/>
      <c r="AN44" s="2364"/>
      <c r="AO44" s="2364"/>
      <c r="AP44" s="2364"/>
      <c r="AQ44" s="2364"/>
      <c r="AR44" s="2364"/>
      <c r="AS44" s="2364"/>
      <c r="AT44" s="2364"/>
      <c r="AU44" s="2364"/>
      <c r="AV44" s="2364"/>
      <c r="AW44" s="2364"/>
      <c r="AX44" s="2364"/>
      <c r="AY44" s="2364"/>
      <c r="AZ44" s="2364"/>
      <c r="BA44" s="2364"/>
      <c r="BB44" s="2364"/>
      <c r="BC44" s="2364"/>
      <c r="BD44" s="2364"/>
      <c r="BE44" s="2364"/>
      <c r="BF44" s="2364"/>
      <c r="BG44" s="2364"/>
      <c r="BH44" s="2364"/>
      <c r="BI44" s="2364"/>
      <c r="BJ44" s="2364"/>
      <c r="BK44" s="2364"/>
      <c r="BL44" s="2364"/>
      <c r="BM44" s="2364"/>
      <c r="BN44" s="2364"/>
      <c r="BO44" s="2364"/>
      <c r="BP44" s="2364"/>
      <c r="BQ44" s="2364"/>
      <c r="BR44" s="2364"/>
      <c r="BS44" s="2364"/>
      <c r="BT44" s="2364"/>
      <c r="BU44" s="2364"/>
      <c r="BV44" s="2364"/>
      <c r="BW44" s="2364"/>
      <c r="BX44" s="2364"/>
    </row>
    <row r="45" spans="1:76" s="204" customFormat="1" ht="12.95" customHeight="1" thickTop="1"/>
    <row r="46" spans="1:76" ht="12.95" customHeight="1">
      <c r="A46" s="403" t="s">
        <v>587</v>
      </c>
      <c r="C46" s="403" t="s">
        <v>282</v>
      </c>
    </row>
    <row r="47" spans="1:76" ht="12.95" customHeight="1">
      <c r="D47" s="403" t="s">
        <v>283</v>
      </c>
      <c r="AB47" s="2361">
        <f>'Sources and Uses Budget'!B105-MAX(IF('Sources and Uses Budget'!B15="",0,'Sources and Uses Budget'!B15),IF(Application!AG394="",0,Application!AG394))</f>
        <v>85732835</v>
      </c>
      <c r="AC47" s="2362"/>
      <c r="AD47" s="2362"/>
      <c r="AE47" s="2362"/>
      <c r="AF47" s="2363"/>
    </row>
    <row r="48" spans="1:76" ht="12.95" customHeight="1">
      <c r="D48" s="403" t="s">
        <v>21</v>
      </c>
      <c r="AB48" s="2361">
        <f>Application!AO639-MAX(IF('Sources and Uses Budget'!B15="",0,'Sources and Uses Budget'!B15),IF(Application!AG394="",0,Application!AG394))</f>
        <v>49950342</v>
      </c>
      <c r="AC48" s="2362"/>
      <c r="AD48" s="2362"/>
      <c r="AE48" s="2362"/>
      <c r="AF48" s="2363"/>
    </row>
    <row r="49" spans="1:76" ht="12.95" customHeight="1">
      <c r="D49" s="403" t="s">
        <v>91</v>
      </c>
      <c r="AB49" s="2361">
        <f>AB47-AB48</f>
        <v>35782493</v>
      </c>
      <c r="AC49" s="2362"/>
      <c r="AD49" s="2362"/>
      <c r="AE49" s="2362"/>
      <c r="AF49" s="2363"/>
    </row>
    <row r="50" spans="1:76" ht="12.95" customHeight="1">
      <c r="D50" s="403" t="s">
        <v>682</v>
      </c>
      <c r="AA50" s="414"/>
      <c r="AB50" s="2349">
        <f>AB49/(Y41*10)</f>
        <v>0.86537474911805878</v>
      </c>
      <c r="AC50" s="2350"/>
      <c r="AD50" s="2350"/>
      <c r="AE50" s="2350"/>
      <c r="AF50" s="2351"/>
    </row>
    <row r="51" spans="1:76" s="416" customFormat="1" ht="12.95" customHeight="1">
      <c r="A51" s="401"/>
      <c r="B51" s="401"/>
      <c r="C51" s="401"/>
      <c r="D51" s="401"/>
      <c r="E51" s="2360" t="s">
        <v>1851</v>
      </c>
      <c r="F51" s="2360"/>
      <c r="G51" s="2360"/>
      <c r="H51" s="2360"/>
      <c r="I51" s="2360"/>
      <c r="J51" s="2360"/>
      <c r="K51" s="2360"/>
      <c r="L51" s="2360"/>
      <c r="M51" s="2360"/>
      <c r="N51" s="2360"/>
      <c r="O51" s="2360"/>
      <c r="P51" s="2360"/>
      <c r="Q51" s="2360"/>
      <c r="R51" s="2360"/>
      <c r="S51" s="2360"/>
      <c r="T51" s="2360"/>
      <c r="U51" s="2360"/>
      <c r="V51" s="2360"/>
      <c r="W51" s="2360"/>
      <c r="X51" s="2360"/>
      <c r="Y51" s="2360"/>
      <c r="Z51" s="2360"/>
      <c r="AA51" s="415"/>
      <c r="AB51" s="415"/>
      <c r="AC51" s="415"/>
      <c r="AD51" s="415"/>
      <c r="AE51" s="415"/>
      <c r="AF51" s="415"/>
      <c r="AG51" s="401"/>
      <c r="AH51" s="401"/>
      <c r="AI51" s="401"/>
      <c r="AJ51" s="401"/>
      <c r="AK51" s="401"/>
      <c r="AL51" s="401"/>
      <c r="AM51" s="401"/>
      <c r="AN51" s="401"/>
    </row>
    <row r="52" spans="1:76" s="416" customFormat="1" ht="12.95" customHeight="1">
      <c r="A52" s="401"/>
      <c r="B52" s="401"/>
      <c r="C52" s="401"/>
      <c r="D52" s="401"/>
      <c r="E52" s="2360"/>
      <c r="F52" s="2360"/>
      <c r="G52" s="2360"/>
      <c r="H52" s="2360"/>
      <c r="I52" s="2360"/>
      <c r="J52" s="2360"/>
      <c r="K52" s="2360"/>
      <c r="L52" s="2360"/>
      <c r="M52" s="2360"/>
      <c r="N52" s="2360"/>
      <c r="O52" s="2360"/>
      <c r="P52" s="2360"/>
      <c r="Q52" s="2360"/>
      <c r="R52" s="2360"/>
      <c r="S52" s="2360"/>
      <c r="T52" s="2360"/>
      <c r="U52" s="2360"/>
      <c r="V52" s="2360"/>
      <c r="W52" s="2360"/>
      <c r="X52" s="2360"/>
      <c r="Y52" s="2360"/>
      <c r="Z52" s="2360"/>
      <c r="AA52" s="417"/>
      <c r="AB52" s="417"/>
      <c r="AC52" s="417"/>
      <c r="AD52" s="417"/>
      <c r="AE52" s="417"/>
      <c r="AF52" s="417"/>
      <c r="AG52" s="418"/>
      <c r="AH52" s="401"/>
      <c r="AI52" s="401"/>
      <c r="AJ52" s="401"/>
      <c r="AK52" s="401"/>
      <c r="AL52" s="401"/>
      <c r="AM52" s="401"/>
      <c r="AN52" s="401"/>
    </row>
    <row r="53" spans="1:76" ht="12.95" customHeight="1">
      <c r="E53" s="415"/>
      <c r="F53" s="415"/>
      <c r="G53" s="415"/>
      <c r="H53" s="415"/>
      <c r="I53" s="415"/>
      <c r="J53" s="415"/>
      <c r="K53" s="415"/>
      <c r="L53" s="415"/>
      <c r="M53" s="415"/>
      <c r="N53" s="415"/>
      <c r="O53" s="415"/>
      <c r="P53" s="415"/>
      <c r="Q53" s="415"/>
      <c r="R53" s="415"/>
      <c r="S53" s="415"/>
      <c r="T53" s="415"/>
      <c r="U53" s="415"/>
      <c r="V53" s="415"/>
      <c r="W53" s="415"/>
      <c r="X53" s="415"/>
      <c r="Y53" s="415"/>
      <c r="Z53" s="415"/>
    </row>
    <row r="54" spans="1:76" ht="12.95" customHeight="1">
      <c r="D54" s="403" t="s">
        <v>332</v>
      </c>
      <c r="AB54" s="2361">
        <f>ROUND(IF(ISERROR((AB49/AB50)),0,(AB49/AB50)),0)</f>
        <v>41349130</v>
      </c>
      <c r="AC54" s="2362"/>
      <c r="AD54" s="2362"/>
      <c r="AE54" s="2362"/>
      <c r="AF54" s="2363"/>
    </row>
    <row r="55" spans="1:76" ht="12.95" customHeight="1">
      <c r="D55" s="403" t="s">
        <v>333</v>
      </c>
      <c r="AB55" s="2361">
        <f>(AB54/10)</f>
        <v>4134913</v>
      </c>
      <c r="AC55" s="2362"/>
      <c r="AD55" s="2362"/>
      <c r="AE55" s="2362"/>
      <c r="AF55" s="2363"/>
    </row>
    <row r="56" spans="1:76" ht="12.95" customHeight="1">
      <c r="D56" s="403" t="s">
        <v>757</v>
      </c>
      <c r="AB56" s="2361">
        <f>ROUND((IF((Y41&lt;AB55),Y41,AB55)),0)</f>
        <v>4134913</v>
      </c>
      <c r="AC56" s="2362"/>
      <c r="AD56" s="2362"/>
      <c r="AE56" s="2362"/>
      <c r="AF56" s="2363"/>
    </row>
    <row r="57" spans="1:76" ht="12.95" customHeight="1">
      <c r="D57" s="403" t="s">
        <v>756</v>
      </c>
      <c r="AB57" s="2361">
        <f>ROUND((10*AB56*AB50),0)</f>
        <v>35782493</v>
      </c>
      <c r="AC57" s="2362"/>
      <c r="AD57" s="2362"/>
      <c r="AE57" s="2362"/>
      <c r="AF57" s="2363"/>
    </row>
    <row r="58" spans="1:76" ht="12.95" customHeight="1">
      <c r="D58" s="403"/>
      <c r="AB58" s="422"/>
      <c r="AC58" s="422"/>
      <c r="AD58" s="422"/>
      <c r="AE58" s="422"/>
      <c r="AF58" s="422"/>
    </row>
    <row r="59" spans="1:76" ht="12.95" customHeight="1">
      <c r="D59" s="403" t="s">
        <v>755</v>
      </c>
      <c r="AB59" s="2345">
        <f>AB49-AB57</f>
        <v>0</v>
      </c>
      <c r="AC59" s="2345"/>
      <c r="AD59" s="2345"/>
      <c r="AE59" s="2345"/>
      <c r="AF59" s="2345"/>
    </row>
    <row r="60" spans="1:76" ht="12.95" customHeight="1">
      <c r="D60" s="403"/>
      <c r="AB60" s="422"/>
      <c r="AC60" s="422"/>
      <c r="AD60" s="422"/>
      <c r="AE60" s="422"/>
      <c r="AF60" s="422"/>
    </row>
    <row r="61" spans="1:76" s="204" customFormat="1" ht="12.95" customHeight="1" thickBot="1">
      <c r="A61" s="2364" t="str">
        <f>IF(Application!AP205="yes","Farmworker State Credit", "State Credit" )</f>
        <v>State Credit</v>
      </c>
      <c r="B61" s="2364"/>
      <c r="C61" s="2364"/>
      <c r="D61" s="2364"/>
      <c r="E61" s="2364"/>
      <c r="F61" s="2364"/>
      <c r="G61" s="2364"/>
      <c r="H61" s="2364"/>
      <c r="I61" s="2364"/>
      <c r="J61" s="2364"/>
      <c r="K61" s="2364"/>
      <c r="L61" s="2364"/>
      <c r="M61" s="2364"/>
      <c r="N61" s="2364"/>
      <c r="O61" s="2364"/>
      <c r="P61" s="2364"/>
      <c r="Q61" s="2364"/>
      <c r="R61" s="2364"/>
      <c r="S61" s="2364"/>
      <c r="T61" s="2364"/>
      <c r="U61" s="2364"/>
      <c r="V61" s="2364"/>
      <c r="W61" s="2364"/>
      <c r="X61" s="2364"/>
      <c r="Y61" s="2364"/>
      <c r="Z61" s="2364"/>
      <c r="AA61" s="2364"/>
      <c r="AB61" s="2364"/>
      <c r="AC61" s="2364"/>
      <c r="AD61" s="2364"/>
      <c r="AE61" s="2364"/>
      <c r="AF61" s="2364"/>
      <c r="AG61" s="2364"/>
      <c r="AH61" s="2364"/>
      <c r="AI61" s="2364"/>
      <c r="AJ61" s="2364"/>
      <c r="AK61" s="2364"/>
      <c r="AL61" s="2364"/>
      <c r="AM61" s="2364"/>
      <c r="AN61" s="2364"/>
      <c r="AO61" s="2364"/>
      <c r="AP61" s="2364"/>
      <c r="AQ61" s="2364"/>
      <c r="AR61" s="2364"/>
      <c r="AS61" s="2364"/>
      <c r="AT61" s="2364"/>
      <c r="AU61" s="2364"/>
      <c r="AV61" s="2364"/>
      <c r="AW61" s="2364"/>
      <c r="AX61" s="2364"/>
      <c r="AY61" s="2364"/>
      <c r="AZ61" s="2364"/>
      <c r="BA61" s="2364"/>
      <c r="BB61" s="2364"/>
      <c r="BC61" s="2364"/>
      <c r="BD61" s="2364"/>
      <c r="BE61" s="2364"/>
      <c r="BF61" s="2364"/>
      <c r="BG61" s="2364"/>
      <c r="BH61" s="2364"/>
      <c r="BI61" s="2364"/>
      <c r="BJ61" s="2364"/>
      <c r="BK61" s="2364"/>
      <c r="BL61" s="2364"/>
      <c r="BM61" s="2364"/>
      <c r="BN61" s="2364"/>
      <c r="BO61" s="2364"/>
      <c r="BP61" s="2364"/>
      <c r="BQ61" s="2364"/>
      <c r="BR61" s="2364"/>
      <c r="BS61" s="2364"/>
      <c r="BT61" s="2364"/>
      <c r="BU61" s="2364"/>
      <c r="BV61" s="2364"/>
      <c r="BW61" s="2364"/>
      <c r="BX61" s="2364"/>
    </row>
    <row r="62" spans="1:76" s="204" customFormat="1" ht="12.95" customHeight="1" thickTop="1"/>
    <row r="63" spans="1:76" ht="12.95" customHeight="1">
      <c r="A63" s="403" t="s">
        <v>590</v>
      </c>
      <c r="C63" s="205" t="s">
        <v>1249</v>
      </c>
      <c r="Y63" s="2356" t="s">
        <v>985</v>
      </c>
      <c r="Z63" s="2356"/>
      <c r="AA63" s="2356"/>
      <c r="AB63" s="2356"/>
      <c r="AC63" s="2356"/>
      <c r="AD63" s="2356" t="s">
        <v>369</v>
      </c>
      <c r="AE63" s="2356"/>
      <c r="AF63" s="2356"/>
      <c r="AG63" s="2356"/>
      <c r="AH63" s="2356"/>
    </row>
    <row r="64" spans="1:76" ht="12.95" customHeight="1">
      <c r="C64" s="403"/>
      <c r="D64" s="376" t="s">
        <v>1250</v>
      </c>
      <c r="E64" s="419"/>
      <c r="F64" s="419"/>
      <c r="G64" s="419"/>
      <c r="H64" s="419"/>
      <c r="I64" s="419"/>
      <c r="J64" s="419"/>
      <c r="K64" s="419"/>
      <c r="L64" s="419"/>
      <c r="M64" s="419"/>
      <c r="N64" s="419"/>
      <c r="O64" s="419"/>
      <c r="P64" s="419"/>
      <c r="Q64" s="419"/>
      <c r="R64" s="419"/>
      <c r="S64" s="419"/>
      <c r="T64" s="419"/>
      <c r="U64" s="419"/>
      <c r="V64" s="419"/>
      <c r="W64" s="419"/>
      <c r="X64" s="419"/>
      <c r="Y64" s="2357">
        <f>IF(Application!$Z$205="(select)",0,((T23*T27)+Y28))</f>
        <v>0</v>
      </c>
      <c r="Z64" s="2358"/>
      <c r="AA64" s="2358"/>
      <c r="AB64" s="2358"/>
      <c r="AC64" s="2359"/>
      <c r="AD64" s="2357">
        <f>IF(AND(OR(Application!D211="At-Risk",Application!D211="At-Risk and Special Needs"),Application!M358="yes"),AD28+AI28,0)</f>
        <v>0</v>
      </c>
      <c r="AE64" s="2358"/>
      <c r="AF64" s="2358"/>
      <c r="AG64" s="2358"/>
      <c r="AH64" s="2359"/>
    </row>
    <row r="65" spans="1:36" ht="12.95" customHeight="1">
      <c r="C65" s="403"/>
      <c r="E65" s="1016" t="s">
        <v>1849</v>
      </c>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8"/>
      <c r="AF65" s="438"/>
      <c r="AG65" s="438"/>
      <c r="AH65" s="438"/>
      <c r="AI65" s="438"/>
      <c r="AJ65" s="438"/>
    </row>
    <row r="66" spans="1:36" ht="22.5" customHeight="1">
      <c r="C66" s="403"/>
      <c r="E66" s="1016" t="s">
        <v>1850</v>
      </c>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8"/>
      <c r="AF66" s="438"/>
      <c r="AG66" s="438"/>
      <c r="AH66" s="438"/>
      <c r="AI66" s="438"/>
      <c r="AJ66" s="438"/>
    </row>
    <row r="67" spans="1:36" ht="12.95" customHeight="1">
      <c r="C67" s="403"/>
      <c r="D67" s="403" t="s">
        <v>270</v>
      </c>
      <c r="E67" s="420"/>
      <c r="F67" s="420"/>
      <c r="G67" s="420"/>
      <c r="H67" s="420"/>
      <c r="I67" s="420"/>
      <c r="J67" s="420"/>
      <c r="K67" s="420"/>
      <c r="L67" s="420"/>
      <c r="M67" s="420"/>
      <c r="N67" s="420"/>
      <c r="O67" s="420"/>
      <c r="P67" s="420"/>
      <c r="Q67" s="420"/>
      <c r="R67" s="420"/>
      <c r="S67" s="420"/>
      <c r="T67" s="420"/>
      <c r="U67" s="420"/>
      <c r="V67" s="420"/>
      <c r="W67" s="420"/>
      <c r="X67" s="420"/>
      <c r="Y67" s="2346" cm="1">
        <f t="array" ref="Y67">_xlfn.IFS(OR(Application!Z205="State Farmworker Credit",Application!Z205="$500M (Farmworker Housing)"),0.75,Application!Z205="15% set-aside",0.13,Application!Z205="15% set-aside with qualifying low value rehab",0.95,Application!Z205="$500M",0.3,TRUE,0)</f>
        <v>0</v>
      </c>
      <c r="Z67" s="2346"/>
      <c r="AA67" s="2346"/>
      <c r="AB67" s="2346"/>
      <c r="AC67" s="2346"/>
      <c r="AD67" s="2346" cm="1">
        <f t="array" ref="AD67">_xlfn.IFS(Application!Z205="15% set-aside with qualifying low value rehab", 0.95,OR(Application!D211="At-Risk",'Points System'!B13="Yes"),0.13,TRUE,0)</f>
        <v>0</v>
      </c>
      <c r="AE67" s="2346"/>
      <c r="AF67" s="2346"/>
      <c r="AG67" s="2346"/>
      <c r="AH67" s="2346"/>
    </row>
    <row r="68" spans="1:36" ht="12.95" customHeight="1">
      <c r="C68" s="403"/>
      <c r="D68" s="205" t="s">
        <v>2227</v>
      </c>
      <c r="Y68" s="2347">
        <f>ROUND(Y64*Y67,0)</f>
        <v>0</v>
      </c>
      <c r="Z68" s="2348"/>
      <c r="AA68" s="2348"/>
      <c r="AB68" s="2348"/>
      <c r="AC68" s="2348"/>
      <c r="AD68" s="2347">
        <f>ROUND(AD64*AD67,0)</f>
        <v>0</v>
      </c>
      <c r="AE68" s="2348"/>
      <c r="AF68" s="2348"/>
      <c r="AG68" s="2348"/>
      <c r="AH68" s="2348"/>
    </row>
    <row r="69" spans="1:36" ht="12.95" customHeight="1">
      <c r="C69" s="403"/>
      <c r="D69" s="205" t="s">
        <v>2228</v>
      </c>
      <c r="Y69" s="2347">
        <f>IF(OR(Application!Z205="State Farmworker Credit",Application!Z205="$500M (Farmworker Housing)"),Y68+AD68,MIN(Y68+AD68,200000*(Application!G753+Application!O777)))</f>
        <v>0</v>
      </c>
      <c r="Z69" s="2347"/>
      <c r="AA69" s="2347"/>
      <c r="AB69" s="2347"/>
      <c r="AC69" s="2347"/>
      <c r="AD69" s="2347"/>
      <c r="AE69" s="2347"/>
      <c r="AF69" s="2347"/>
      <c r="AG69" s="2347"/>
      <c r="AH69" s="2347"/>
    </row>
    <row r="70" spans="1:36" ht="12.95" customHeight="1">
      <c r="C70" s="403"/>
      <c r="E70" s="403"/>
      <c r="AB70" s="421"/>
      <c r="AC70" s="421"/>
      <c r="AD70" s="421"/>
      <c r="AE70" s="421"/>
      <c r="AF70" s="421"/>
    </row>
    <row r="71" spans="1:36" ht="12.95" customHeight="1">
      <c r="A71" s="403" t="s">
        <v>591</v>
      </c>
      <c r="C71" s="205" t="s">
        <v>284</v>
      </c>
    </row>
    <row r="72" spans="1:36" ht="12.95" customHeight="1">
      <c r="A72" s="403"/>
      <c r="C72" s="403"/>
      <c r="D72" s="205" t="s">
        <v>1251</v>
      </c>
      <c r="AB72" s="2349"/>
      <c r="AC72" s="2350"/>
      <c r="AD72" s="2350"/>
      <c r="AE72" s="2350"/>
      <c r="AF72" s="2351"/>
    </row>
    <row r="73" spans="1:36" ht="12.95" customHeight="1">
      <c r="A73" s="403"/>
      <c r="C73" s="403"/>
      <c r="D73" s="403"/>
      <c r="E73" s="2352" t="s">
        <v>1252</v>
      </c>
      <c r="F73" s="2352"/>
      <c r="G73" s="2352"/>
      <c r="H73" s="2352"/>
      <c r="I73" s="2352"/>
      <c r="J73" s="2352"/>
      <c r="K73" s="2352"/>
      <c r="L73" s="2352"/>
      <c r="M73" s="2352"/>
      <c r="N73" s="2352"/>
      <c r="O73" s="2352"/>
      <c r="P73" s="2352"/>
      <c r="Q73" s="2352"/>
      <c r="R73" s="2352"/>
      <c r="S73" s="2352"/>
      <c r="T73" s="2352"/>
      <c r="U73" s="2352"/>
      <c r="V73" s="2352"/>
      <c r="W73" s="2352"/>
      <c r="X73" s="2352"/>
      <c r="Y73" s="2352"/>
      <c r="Z73" s="2352"/>
      <c r="AA73" s="2352"/>
      <c r="AB73" s="437"/>
      <c r="AC73" s="437"/>
    </row>
    <row r="74" spans="1:36" ht="12.95" customHeight="1">
      <c r="A74" s="403"/>
      <c r="C74" s="403"/>
      <c r="D74" s="403"/>
      <c r="E74" s="2352"/>
      <c r="F74" s="2352"/>
      <c r="G74" s="2352"/>
      <c r="H74" s="2352"/>
      <c r="I74" s="2352"/>
      <c r="J74" s="2352"/>
      <c r="K74" s="2352"/>
      <c r="L74" s="2352"/>
      <c r="M74" s="2352"/>
      <c r="N74" s="2352"/>
      <c r="O74" s="2352"/>
      <c r="P74" s="2352"/>
      <c r="Q74" s="2352"/>
      <c r="R74" s="2352"/>
      <c r="S74" s="2352"/>
      <c r="T74" s="2352"/>
      <c r="U74" s="2352"/>
      <c r="V74" s="2352"/>
      <c r="W74" s="2352"/>
      <c r="X74" s="2352"/>
      <c r="Y74" s="2352"/>
      <c r="Z74" s="2352"/>
      <c r="AA74" s="2352"/>
      <c r="AB74" s="437"/>
      <c r="AC74" s="437"/>
    </row>
    <row r="75" spans="1:36" ht="12.95" customHeight="1">
      <c r="A75" s="403"/>
      <c r="C75" s="403"/>
      <c r="D75" s="403"/>
      <c r="E75" s="2352"/>
      <c r="F75" s="2352"/>
      <c r="G75" s="2352"/>
      <c r="H75" s="2352"/>
      <c r="I75" s="2352"/>
      <c r="J75" s="2352"/>
      <c r="K75" s="2352"/>
      <c r="L75" s="2352"/>
      <c r="M75" s="2352"/>
      <c r="N75" s="2352"/>
      <c r="O75" s="2352"/>
      <c r="P75" s="2352"/>
      <c r="Q75" s="2352"/>
      <c r="R75" s="2352"/>
      <c r="S75" s="2352"/>
      <c r="T75" s="2352"/>
      <c r="U75" s="2352"/>
      <c r="V75" s="2352"/>
      <c r="W75" s="2352"/>
      <c r="X75" s="2352"/>
      <c r="Y75" s="2352"/>
      <c r="Z75" s="2352"/>
      <c r="AA75" s="2352"/>
      <c r="AB75" s="437"/>
      <c r="AC75" s="437"/>
    </row>
    <row r="76" spans="1:36" ht="12.95" customHeight="1">
      <c r="A76" s="403"/>
      <c r="C76" s="403"/>
      <c r="D76" s="403"/>
      <c r="E76" s="423"/>
      <c r="F76" s="423"/>
      <c r="G76" s="423"/>
      <c r="H76" s="423"/>
      <c r="I76" s="423"/>
      <c r="J76" s="423"/>
      <c r="K76" s="423"/>
      <c r="L76" s="423"/>
      <c r="M76" s="423"/>
      <c r="N76" s="423"/>
      <c r="O76" s="423"/>
      <c r="P76" s="423"/>
      <c r="Q76" s="423"/>
      <c r="R76" s="423"/>
      <c r="S76" s="423"/>
      <c r="T76" s="423"/>
      <c r="U76" s="423"/>
      <c r="V76" s="423"/>
      <c r="W76" s="423"/>
      <c r="X76" s="423"/>
      <c r="Y76" s="423"/>
      <c r="Z76" s="423"/>
      <c r="AA76" s="359"/>
      <c r="AB76" s="359"/>
      <c r="AC76" s="359"/>
    </row>
    <row r="77" spans="1:36" ht="12.95" customHeight="1">
      <c r="C77" s="403"/>
      <c r="D77" s="205" t="s">
        <v>1253</v>
      </c>
      <c r="AB77" s="2340">
        <f>ROUND(IF(ISERROR((AB59/AB72)),0,(AB59/AB72)),0)</f>
        <v>0</v>
      </c>
      <c r="AC77" s="2340"/>
      <c r="AD77" s="2340"/>
      <c r="AE77" s="2340"/>
      <c r="AF77" s="2340"/>
    </row>
    <row r="78" spans="1:36" ht="12.95" customHeight="1">
      <c r="C78" s="403"/>
      <c r="D78" s="205" t="s">
        <v>1254</v>
      </c>
      <c r="AB78" s="2341">
        <f>ROUNDUP(MIN(Y69,AB77),0)</f>
        <v>0</v>
      </c>
      <c r="AC78" s="2342"/>
      <c r="AD78" s="2342"/>
      <c r="AE78" s="2342"/>
      <c r="AF78" s="2343"/>
    </row>
    <row r="79" spans="1:36" ht="12.95" customHeight="1">
      <c r="C79" s="403"/>
      <c r="D79" s="205" t="s">
        <v>1255</v>
      </c>
      <c r="AB79" s="2344">
        <f>AB78*AB72</f>
        <v>0</v>
      </c>
      <c r="AC79" s="2344"/>
      <c r="AD79" s="2344"/>
      <c r="AE79" s="2344"/>
      <c r="AF79" s="2344"/>
    </row>
    <row r="80" spans="1:36" ht="12.95" customHeight="1">
      <c r="C80" s="403"/>
      <c r="D80" s="403"/>
      <c r="AB80" s="424"/>
      <c r="AC80" s="424"/>
      <c r="AD80" s="424"/>
      <c r="AE80" s="424"/>
      <c r="AF80" s="424"/>
    </row>
    <row r="81" spans="1:78" ht="12.95" customHeight="1">
      <c r="D81" s="403" t="s">
        <v>755</v>
      </c>
      <c r="AB81" s="2345">
        <f>AB49-(AB57+AB79)</f>
        <v>0</v>
      </c>
      <c r="AC81" s="2345"/>
      <c r="AD81" s="2345"/>
      <c r="AE81" s="2345"/>
      <c r="AF81" s="2345"/>
    </row>
    <row r="82" spans="1:78" ht="12.95" customHeight="1">
      <c r="F82" s="521"/>
      <c r="J82" s="521" t="str">
        <f>IF(AB81&gt;0,"FUNDING GAP MUST NOT EXCEED ZERO","")</f>
        <v/>
      </c>
    </row>
    <row r="83" spans="1:78" ht="12.95" customHeight="1">
      <c r="D83" s="522"/>
    </row>
    <row r="84" spans="1:78" ht="12.95" customHeight="1" thickBot="1">
      <c r="A84" s="2364"/>
      <c r="B84" s="2364"/>
      <c r="C84" s="2364"/>
      <c r="D84" s="2364"/>
      <c r="E84" s="2364"/>
      <c r="F84" s="2364"/>
      <c r="G84" s="2364"/>
      <c r="H84" s="2364"/>
      <c r="I84" s="2364"/>
      <c r="J84" s="2364"/>
      <c r="K84" s="2364"/>
      <c r="L84" s="2364"/>
      <c r="M84" s="2364"/>
      <c r="N84" s="2364"/>
      <c r="O84" s="2364"/>
      <c r="P84" s="2364"/>
      <c r="Q84" s="2364"/>
      <c r="R84" s="2364"/>
      <c r="S84" s="2364"/>
      <c r="T84" s="2364"/>
      <c r="U84" s="2364"/>
      <c r="V84" s="2364"/>
      <c r="W84" s="2364"/>
      <c r="X84" s="2364"/>
      <c r="Y84" s="2364"/>
      <c r="Z84" s="2364"/>
      <c r="AA84" s="2364"/>
      <c r="AB84" s="2364"/>
      <c r="AC84" s="2364"/>
      <c r="AD84" s="2364"/>
      <c r="AE84" s="2364"/>
      <c r="AF84" s="2364"/>
      <c r="AG84" s="2364"/>
      <c r="AH84" s="2364"/>
      <c r="AI84" s="2364"/>
      <c r="AJ84" s="2364"/>
      <c r="AK84" s="2364"/>
      <c r="AL84" s="2364"/>
      <c r="AM84" s="2364"/>
      <c r="AN84" s="2364"/>
      <c r="AO84" s="2364"/>
      <c r="AP84" s="2364"/>
      <c r="AQ84" s="2364"/>
      <c r="AR84" s="2364"/>
      <c r="AS84" s="2364"/>
      <c r="AT84" s="2364"/>
      <c r="AU84" s="2364"/>
      <c r="AV84" s="2364"/>
      <c r="AW84" s="2364"/>
      <c r="AX84" s="2364"/>
      <c r="AY84" s="2364"/>
      <c r="AZ84" s="2364"/>
      <c r="BA84" s="2364"/>
      <c r="BB84" s="2364"/>
      <c r="BC84" s="2364"/>
      <c r="BD84" s="2364"/>
      <c r="BE84" s="2364"/>
      <c r="BF84" s="2364"/>
      <c r="BG84" s="2364"/>
      <c r="BH84" s="2364"/>
      <c r="BI84" s="2364"/>
      <c r="BJ84" s="2364"/>
      <c r="BK84" s="2364"/>
      <c r="BL84" s="2364"/>
      <c r="BM84" s="2364"/>
      <c r="BN84" s="2364"/>
      <c r="BO84" s="2364"/>
      <c r="BP84" s="2364"/>
      <c r="BQ84" s="2364"/>
      <c r="BR84" s="2364"/>
      <c r="BS84" s="2364"/>
      <c r="BT84" s="2364"/>
      <c r="BU84" s="2364"/>
      <c r="BV84" s="2364"/>
      <c r="BW84" s="2364"/>
      <c r="BX84" s="2364"/>
    </row>
    <row r="85" spans="1:78" ht="12.95" customHeight="1" thickTop="1"/>
    <row r="86" spans="1:78" ht="12.95" customHeight="1">
      <c r="A86" s="403"/>
      <c r="C86" s="205"/>
    </row>
    <row r="87" spans="1:78" ht="12.95" customHeight="1">
      <c r="D87" s="205"/>
      <c r="AB87" s="2396"/>
      <c r="AC87" s="2396"/>
      <c r="AD87" s="2396"/>
      <c r="AE87" s="2396"/>
      <c r="AF87" s="2396"/>
    </row>
    <row r="88" spans="1:78" ht="12.95" customHeight="1" thickBot="1">
      <c r="D88" s="205"/>
      <c r="AB88" s="2395"/>
      <c r="AC88" s="2395"/>
      <c r="AD88" s="2395"/>
      <c r="AE88" s="2395"/>
      <c r="AF88" s="2395"/>
      <c r="AO88" s="520"/>
      <c r="AP88" s="520"/>
      <c r="AQ88" s="520"/>
      <c r="AR88" s="520"/>
      <c r="AS88" s="520"/>
      <c r="AT88" s="520"/>
      <c r="AU88" s="520"/>
      <c r="AV88" s="520"/>
      <c r="AW88" s="520"/>
      <c r="AX88" s="520"/>
      <c r="AY88" s="520"/>
      <c r="AZ88" s="520"/>
      <c r="BA88" s="520"/>
      <c r="BB88" s="520"/>
      <c r="BC88" s="520"/>
      <c r="BD88" s="520"/>
      <c r="BE88" s="520"/>
      <c r="BF88" s="520"/>
      <c r="BG88" s="520"/>
      <c r="BH88" s="520"/>
      <c r="BI88" s="520"/>
      <c r="BJ88" s="520"/>
      <c r="BK88" s="520"/>
      <c r="BL88" s="520"/>
      <c r="BM88" s="520"/>
      <c r="BN88" s="520"/>
      <c r="BO88" s="520"/>
      <c r="BP88" s="520"/>
      <c r="BQ88" s="520"/>
      <c r="BR88" s="520"/>
      <c r="BS88" s="520"/>
      <c r="BT88" s="520"/>
      <c r="BU88" s="520"/>
      <c r="BV88" s="520"/>
      <c r="BW88" s="520"/>
      <c r="BX88" s="520"/>
      <c r="BY88" s="520"/>
      <c r="BZ88" s="520"/>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85" zoomScaleNormal="85" workbookViewId="0">
      <selection activeCell="AK203" sqref="AK203"/>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3" customWidth="1"/>
    <col min="41" max="41" width="5.42578125" style="30" hidden="1" customWidth="1"/>
    <col min="42" max="45" width="5.42578125" style="14" hidden="1" customWidth="1"/>
    <col min="46" max="46" width="10.855468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438" t="s">
        <v>1301</v>
      </c>
      <c r="B1" s="2438"/>
      <c r="C1" s="2438"/>
      <c r="D1" s="2438"/>
      <c r="E1" s="2438"/>
      <c r="F1" s="2438"/>
      <c r="G1" s="2438"/>
      <c r="H1" s="2438"/>
      <c r="I1" s="2438"/>
      <c r="J1" s="2438"/>
      <c r="K1" s="2438"/>
      <c r="L1" s="2438"/>
      <c r="M1" s="2438"/>
      <c r="N1" s="2438"/>
      <c r="O1" s="2438"/>
      <c r="P1" s="2438"/>
      <c r="Q1" s="2438"/>
      <c r="R1" s="2438"/>
      <c r="S1" s="2438"/>
      <c r="T1" s="2438"/>
      <c r="U1" s="2438"/>
      <c r="V1" s="2438"/>
      <c r="W1" s="2438"/>
      <c r="X1" s="2438"/>
      <c r="Y1" s="2438"/>
      <c r="Z1" s="2438"/>
      <c r="AA1" s="2438"/>
      <c r="AB1" s="2438"/>
      <c r="AC1" s="2438"/>
      <c r="AD1" s="2438"/>
      <c r="AE1" s="2438"/>
      <c r="AF1" s="2438"/>
      <c r="AG1" s="2438"/>
      <c r="AH1" s="2438"/>
      <c r="AI1" s="2438"/>
      <c r="AJ1" s="2438"/>
      <c r="AK1" s="2438"/>
      <c r="AL1" s="2438"/>
      <c r="AM1" s="2438"/>
    </row>
    <row r="2" spans="1:42" s="535" customFormat="1" ht="12.75" customHeight="1" thickBot="1">
      <c r="A2" s="2439"/>
      <c r="B2" s="2439"/>
      <c r="C2" s="2439"/>
      <c r="D2" s="2439"/>
      <c r="E2" s="2439"/>
      <c r="F2" s="2439"/>
      <c r="G2" s="2439"/>
      <c r="H2" s="2439"/>
      <c r="I2" s="2439"/>
      <c r="J2" s="2439"/>
      <c r="K2" s="2439"/>
      <c r="L2" s="2439"/>
      <c r="M2" s="2439"/>
      <c r="N2" s="2439"/>
      <c r="O2" s="2439"/>
      <c r="P2" s="2439"/>
      <c r="Q2" s="2439"/>
      <c r="R2" s="2439"/>
      <c r="S2" s="2439"/>
      <c r="T2" s="2439"/>
      <c r="U2" s="2439"/>
      <c r="V2" s="2439"/>
      <c r="W2" s="2439"/>
      <c r="X2" s="2439"/>
      <c r="Y2" s="2439"/>
      <c r="Z2" s="2439"/>
      <c r="AA2" s="2439"/>
      <c r="AB2" s="2439"/>
      <c r="AC2" s="2439"/>
      <c r="AD2" s="2439"/>
      <c r="AE2" s="2439"/>
      <c r="AF2" s="2439"/>
      <c r="AG2" s="2439"/>
      <c r="AH2" s="2439"/>
      <c r="AI2" s="2439"/>
      <c r="AJ2" s="2439"/>
      <c r="AK2" s="2439"/>
      <c r="AL2" s="2439"/>
      <c r="AM2" s="2439"/>
      <c r="AN2" s="534"/>
    </row>
    <row r="3" spans="1:42" s="535" customFormat="1" ht="12.75" customHeight="1" thickTop="1">
      <c r="A3" s="536"/>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B3" s="536"/>
      <c r="AC3" s="536"/>
      <c r="AD3" s="536"/>
      <c r="AE3" s="536"/>
      <c r="AF3" s="536"/>
      <c r="AG3" s="536"/>
      <c r="AH3" s="536"/>
      <c r="AI3" s="536"/>
      <c r="AJ3" s="536"/>
      <c r="AK3" s="536"/>
      <c r="AL3" s="536"/>
      <c r="AM3" s="536"/>
      <c r="AN3" s="534"/>
    </row>
    <row r="4" spans="1:42" s="535" customFormat="1" ht="12.75" customHeight="1">
      <c r="A4" s="537" t="s">
        <v>1302</v>
      </c>
      <c r="B4" s="538" t="s">
        <v>1303</v>
      </c>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4"/>
    </row>
    <row r="5" spans="1:42" s="535" customFormat="1" ht="12.75" customHeight="1" thickBot="1">
      <c r="A5" s="537"/>
      <c r="B5" s="538"/>
      <c r="C5" s="539"/>
      <c r="D5" s="539"/>
      <c r="E5" s="539"/>
      <c r="F5" s="539"/>
      <c r="G5" s="539"/>
      <c r="H5" s="539"/>
      <c r="I5" s="539"/>
      <c r="J5" s="539"/>
      <c r="K5" s="539"/>
      <c r="L5" s="539"/>
      <c r="M5" s="539"/>
      <c r="N5" s="539"/>
      <c r="O5" s="539"/>
      <c r="P5" s="539"/>
      <c r="Q5" s="539"/>
      <c r="R5" s="539"/>
      <c r="S5" s="539"/>
      <c r="T5" s="539"/>
      <c r="U5" s="539"/>
      <c r="V5" s="539"/>
      <c r="W5" s="539"/>
      <c r="X5" s="539"/>
      <c r="Y5" s="539"/>
      <c r="Z5" s="539"/>
      <c r="AA5" s="539"/>
      <c r="AB5" s="539"/>
      <c r="AC5" s="539"/>
      <c r="AD5" s="539"/>
      <c r="AE5" s="539"/>
      <c r="AF5" s="539"/>
      <c r="AG5" s="539"/>
      <c r="AH5" s="539"/>
      <c r="AI5" s="539"/>
      <c r="AJ5" s="539"/>
      <c r="AK5" s="539"/>
      <c r="AL5" s="539"/>
      <c r="AM5" s="539"/>
      <c r="AN5" s="534"/>
    </row>
    <row r="6" spans="1:42" s="535" customFormat="1" ht="12.75" customHeight="1" thickTop="1">
      <c r="A6" s="540"/>
      <c r="B6" s="540"/>
      <c r="C6" s="540"/>
      <c r="D6" s="540"/>
      <c r="E6" s="540"/>
      <c r="F6" s="540"/>
      <c r="G6" s="540"/>
      <c r="H6" s="540"/>
      <c r="I6" s="540"/>
      <c r="J6" s="540"/>
      <c r="K6" s="540"/>
      <c r="L6" s="540"/>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1"/>
      <c r="AN6" s="534"/>
    </row>
    <row r="7" spans="1:42" s="535" customFormat="1" ht="12.75" customHeight="1">
      <c r="A7" s="537" t="s">
        <v>1304</v>
      </c>
      <c r="B7" s="538" t="s">
        <v>1305</v>
      </c>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2419" t="s">
        <v>1306</v>
      </c>
      <c r="AF7" s="2419"/>
      <c r="AG7" s="2419"/>
      <c r="AH7" s="2419"/>
      <c r="AI7" s="2419"/>
      <c r="AJ7" s="2419"/>
      <c r="AK7" s="2419"/>
      <c r="AL7" s="539"/>
      <c r="AM7" s="539"/>
      <c r="AN7" s="534"/>
    </row>
    <row r="8" spans="1:42" s="535" customFormat="1" ht="12.75" customHeight="1">
      <c r="A8" s="537"/>
      <c r="B8" s="538" t="s">
        <v>1730</v>
      </c>
      <c r="C8" s="538"/>
      <c r="D8" s="538"/>
      <c r="E8" s="538"/>
      <c r="F8" s="538"/>
      <c r="G8" s="538"/>
      <c r="H8" s="538"/>
      <c r="I8" s="538"/>
      <c r="J8" s="538"/>
      <c r="K8" s="538"/>
      <c r="L8" s="538"/>
      <c r="M8" s="538"/>
      <c r="N8" s="538"/>
      <c r="O8" s="538"/>
      <c r="P8" s="538"/>
      <c r="Q8" s="538"/>
      <c r="R8" s="538"/>
      <c r="S8" s="538"/>
      <c r="T8" s="538"/>
      <c r="U8" s="538"/>
      <c r="V8" s="538"/>
      <c r="W8" s="538"/>
      <c r="X8" s="538"/>
      <c r="Y8" s="538"/>
      <c r="Z8" s="538"/>
      <c r="AA8" s="538"/>
      <c r="AB8" s="538"/>
      <c r="AC8" s="538"/>
      <c r="AD8" s="538"/>
      <c r="AE8" s="542"/>
      <c r="AF8" s="542"/>
      <c r="AG8" s="542"/>
      <c r="AH8" s="542"/>
      <c r="AI8" s="542"/>
      <c r="AJ8" s="542"/>
      <c r="AK8" s="542"/>
      <c r="AL8" s="539"/>
      <c r="AM8" s="539"/>
      <c r="AN8" s="534"/>
    </row>
    <row r="9" spans="1:42" s="535" customFormat="1" ht="12.75" customHeight="1">
      <c r="A9" s="537"/>
      <c r="B9" s="538"/>
      <c r="C9" s="538"/>
      <c r="D9" s="538"/>
      <c r="E9" s="538"/>
      <c r="F9" s="538"/>
      <c r="G9" s="538"/>
      <c r="H9" s="538"/>
      <c r="I9" s="538"/>
      <c r="J9" s="538"/>
      <c r="K9" s="538"/>
      <c r="L9" s="538"/>
      <c r="M9" s="538"/>
      <c r="N9" s="538"/>
      <c r="O9" s="538"/>
      <c r="P9" s="538"/>
      <c r="Q9" s="538"/>
      <c r="R9" s="538"/>
      <c r="S9" s="538"/>
      <c r="T9" s="538"/>
      <c r="U9" s="538"/>
      <c r="V9" s="538"/>
      <c r="W9" s="538"/>
      <c r="X9" s="538"/>
      <c r="Y9" s="538"/>
      <c r="Z9" s="538"/>
      <c r="AA9" s="538"/>
      <c r="AB9" s="538"/>
      <c r="AC9" s="538"/>
      <c r="AD9" s="538"/>
      <c r="AE9" s="542"/>
      <c r="AF9" s="542"/>
      <c r="AG9" s="542"/>
      <c r="AH9" s="542"/>
      <c r="AI9" s="542"/>
      <c r="AJ9" s="542"/>
      <c r="AK9" s="542"/>
      <c r="AL9" s="539"/>
      <c r="AM9" s="539"/>
      <c r="AN9" s="534"/>
    </row>
    <row r="10" spans="1:42" s="535" customFormat="1" ht="12.75" customHeight="1">
      <c r="A10" s="537"/>
      <c r="B10" s="538" t="s">
        <v>2012</v>
      </c>
      <c r="C10" s="538"/>
      <c r="D10" s="538"/>
      <c r="E10" s="538"/>
      <c r="F10" s="538"/>
      <c r="G10" s="538"/>
      <c r="H10" s="538"/>
      <c r="I10" s="538"/>
      <c r="J10" s="538"/>
      <c r="K10" s="538"/>
      <c r="L10" s="538"/>
      <c r="M10" s="538"/>
      <c r="N10" s="538"/>
      <c r="O10" s="538"/>
      <c r="P10" s="538"/>
      <c r="Q10" s="538"/>
      <c r="R10" s="538"/>
      <c r="S10" s="538"/>
      <c r="T10" s="538"/>
      <c r="U10" s="538"/>
      <c r="V10" s="538"/>
      <c r="W10" s="538"/>
      <c r="X10" s="538"/>
      <c r="Y10" s="538"/>
      <c r="Z10" s="538"/>
      <c r="AA10" s="538"/>
      <c r="AB10" s="538"/>
      <c r="AC10" s="538"/>
      <c r="AD10" s="538"/>
      <c r="AE10" s="542"/>
      <c r="AF10" s="542"/>
      <c r="AG10" s="542"/>
      <c r="AH10" s="542"/>
      <c r="AI10" s="542"/>
      <c r="AJ10" s="542"/>
      <c r="AK10" s="542"/>
      <c r="AL10" s="539"/>
      <c r="AM10" s="539"/>
      <c r="AN10" s="534"/>
    </row>
    <row r="11" spans="1:42" s="535" customFormat="1" ht="12.75" customHeight="1">
      <c r="A11" s="539"/>
      <c r="C11" s="1140" t="s">
        <v>2008</v>
      </c>
      <c r="D11" s="1140"/>
      <c r="E11" s="1140"/>
      <c r="F11" s="1140"/>
      <c r="G11" s="1140"/>
      <c r="H11" s="1140"/>
      <c r="I11" s="1140"/>
      <c r="J11" s="1140"/>
      <c r="K11" s="1140"/>
      <c r="L11" s="1140"/>
      <c r="M11" s="1140"/>
      <c r="N11" s="1140"/>
      <c r="O11" s="1140"/>
      <c r="P11" s="1140"/>
      <c r="Q11" s="1140"/>
      <c r="R11" s="1140"/>
      <c r="S11" s="1140"/>
      <c r="T11" s="1140"/>
      <c r="U11" s="1140"/>
      <c r="V11" s="1140"/>
      <c r="W11" s="1140"/>
      <c r="X11" s="1140"/>
      <c r="Y11" s="1140"/>
      <c r="Z11" s="1140"/>
      <c r="AA11" s="1140"/>
      <c r="AB11" s="1140"/>
      <c r="AC11" s="1140"/>
      <c r="AD11" s="1140"/>
      <c r="AE11" s="1140"/>
      <c r="AF11" s="1140"/>
      <c r="AG11" s="1140"/>
      <c r="AH11" s="1140"/>
      <c r="AI11" s="1140"/>
      <c r="AJ11" s="1140"/>
      <c r="AK11" s="539"/>
      <c r="AL11" s="539"/>
      <c r="AM11" s="539"/>
      <c r="AN11" s="534"/>
      <c r="AO11" s="446"/>
      <c r="AP11" s="544"/>
    </row>
    <row r="12" spans="1:42" s="535" customFormat="1" ht="12.75" customHeight="1">
      <c r="A12" s="539"/>
      <c r="B12" s="545"/>
      <c r="C12" s="539"/>
      <c r="D12" s="539"/>
      <c r="E12" s="539"/>
      <c r="F12" s="539"/>
      <c r="G12" s="539"/>
      <c r="H12" s="539"/>
      <c r="I12" s="539"/>
      <c r="J12" s="539"/>
      <c r="K12" s="539"/>
      <c r="L12" s="539"/>
      <c r="M12" s="539"/>
      <c r="N12" s="539"/>
      <c r="O12" s="539"/>
      <c r="P12" s="539"/>
      <c r="Q12" s="539"/>
      <c r="R12" s="539"/>
      <c r="S12" s="539"/>
      <c r="T12" s="539"/>
      <c r="U12" s="539"/>
      <c r="V12" s="539"/>
      <c r="W12" s="539"/>
      <c r="X12" s="539"/>
      <c r="Y12" s="539"/>
      <c r="Z12" s="539"/>
      <c r="AA12" s="539"/>
      <c r="AB12" s="539"/>
      <c r="AC12" s="539"/>
      <c r="AD12" s="539"/>
      <c r="AE12" s="539"/>
      <c r="AF12" s="539"/>
      <c r="AG12" s="539"/>
      <c r="AH12" s="539"/>
      <c r="AI12" s="539"/>
      <c r="AJ12" s="539"/>
      <c r="AK12" s="539"/>
      <c r="AL12" s="539"/>
      <c r="AM12" s="539"/>
      <c r="AN12" s="534"/>
      <c r="AP12" s="14"/>
    </row>
    <row r="13" spans="1:42" s="535" customFormat="1" ht="12.75" customHeight="1">
      <c r="A13" s="539"/>
      <c r="B13" s="2409" t="s">
        <v>592</v>
      </c>
      <c r="C13" s="2409"/>
      <c r="D13" s="546"/>
      <c r="E13" s="547" t="s">
        <v>1307</v>
      </c>
      <c r="F13" s="548"/>
      <c r="G13" s="548"/>
      <c r="H13" s="548"/>
      <c r="I13" s="548"/>
      <c r="J13" s="548"/>
      <c r="K13" s="548"/>
      <c r="L13" s="548"/>
      <c r="M13" s="548"/>
      <c r="N13" s="548"/>
      <c r="O13" s="548"/>
      <c r="P13" s="548"/>
      <c r="Q13" s="548"/>
      <c r="R13" s="548"/>
      <c r="S13" s="548"/>
      <c r="T13" s="548"/>
      <c r="U13" s="548"/>
      <c r="V13" s="548"/>
      <c r="W13" s="548"/>
      <c r="X13" s="548"/>
      <c r="Y13" s="548"/>
      <c r="Z13" s="548"/>
      <c r="AA13" s="548"/>
      <c r="AB13" s="548"/>
      <c r="AC13" s="548"/>
      <c r="AD13" s="548"/>
      <c r="AE13" s="548"/>
      <c r="AF13" s="548"/>
      <c r="AG13" s="2440"/>
      <c r="AH13" s="2440"/>
      <c r="AI13" s="2440"/>
      <c r="AJ13" s="2441"/>
      <c r="AK13" s="539"/>
      <c r="AL13" s="539"/>
      <c r="AM13" s="539"/>
      <c r="AN13" s="534"/>
      <c r="AO13" s="549">
        <f>IF($B13="yes",20,0)</f>
        <v>0</v>
      </c>
      <c r="AP13" s="14"/>
    </row>
    <row r="14" spans="1:42" s="535" customFormat="1" ht="12.75" customHeight="1">
      <c r="A14" s="539"/>
      <c r="B14" s="539"/>
      <c r="C14" s="539"/>
      <c r="D14" s="14"/>
      <c r="E14" s="539"/>
      <c r="F14" s="539"/>
      <c r="G14" s="539"/>
      <c r="H14" s="539"/>
      <c r="I14" s="539"/>
      <c r="J14" s="539"/>
      <c r="K14" s="539"/>
      <c r="L14" s="539"/>
      <c r="M14" s="539"/>
      <c r="N14" s="539"/>
      <c r="O14" s="539"/>
      <c r="P14" s="539"/>
      <c r="Q14" s="539"/>
      <c r="R14" s="539"/>
      <c r="S14" s="539"/>
      <c r="T14" s="539"/>
      <c r="U14" s="539"/>
      <c r="V14" s="539"/>
      <c r="W14" s="539"/>
      <c r="X14" s="539"/>
      <c r="Y14" s="539"/>
      <c r="Z14" s="539"/>
      <c r="AA14" s="539"/>
      <c r="AB14" s="539"/>
      <c r="AC14" s="539"/>
      <c r="AD14" s="539"/>
      <c r="AE14" s="539"/>
      <c r="AF14" s="539"/>
      <c r="AG14" s="539"/>
      <c r="AH14" s="539"/>
      <c r="AI14" s="539"/>
      <c r="AJ14" s="539"/>
      <c r="AK14" s="539"/>
      <c r="AL14" s="539"/>
      <c r="AM14" s="539"/>
      <c r="AN14" s="534"/>
      <c r="AO14" s="549">
        <f>IF(AND($B16="yes",E20&gt;0),20,0)</f>
        <v>0</v>
      </c>
      <c r="AP14" s="14"/>
    </row>
    <row r="15" spans="1:42" s="535" customFormat="1" ht="12.75" customHeight="1">
      <c r="A15" s="539"/>
      <c r="B15" s="539"/>
      <c r="C15" s="539"/>
      <c r="D15" s="549"/>
      <c r="E15" s="539"/>
      <c r="F15" s="539"/>
      <c r="G15" s="539"/>
      <c r="H15" s="539"/>
      <c r="I15" s="539"/>
      <c r="J15" s="539"/>
      <c r="K15" s="539"/>
      <c r="L15" s="539"/>
      <c r="M15" s="539"/>
      <c r="N15" s="539"/>
      <c r="O15" s="539"/>
      <c r="P15" s="539"/>
      <c r="Q15" s="539"/>
      <c r="R15" s="539"/>
      <c r="S15" s="539"/>
      <c r="T15" s="539"/>
      <c r="U15" s="539"/>
      <c r="V15" s="539"/>
      <c r="W15" s="539"/>
      <c r="X15" s="539"/>
      <c r="Y15" s="539"/>
      <c r="Z15" s="539"/>
      <c r="AA15" s="539"/>
      <c r="AB15" s="539"/>
      <c r="AC15" s="539"/>
      <c r="AD15" s="539"/>
      <c r="AE15" s="539"/>
      <c r="AF15" s="539"/>
      <c r="AG15" s="539"/>
      <c r="AH15" s="539"/>
      <c r="AI15" s="539"/>
      <c r="AJ15" s="539"/>
      <c r="AK15" s="539"/>
      <c r="AL15" s="539"/>
      <c r="AM15" s="539"/>
      <c r="AN15" s="534"/>
      <c r="AO15" s="549">
        <f>IF($B22="yes",20,0)</f>
        <v>0</v>
      </c>
      <c r="AP15" s="14"/>
    </row>
    <row r="16" spans="1:42" s="535" customFormat="1" ht="12.75" customHeight="1">
      <c r="A16" s="539"/>
      <c r="B16" s="2409" t="s">
        <v>592</v>
      </c>
      <c r="C16" s="2409"/>
      <c r="D16" s="546"/>
      <c r="E16" s="2420" t="s">
        <v>1308</v>
      </c>
      <c r="F16" s="2421"/>
      <c r="G16" s="2421"/>
      <c r="H16" s="2421"/>
      <c r="I16" s="2421"/>
      <c r="J16" s="2421"/>
      <c r="K16" s="2421"/>
      <c r="L16" s="2421"/>
      <c r="M16" s="2421"/>
      <c r="N16" s="2421"/>
      <c r="O16" s="2421"/>
      <c r="P16" s="2421"/>
      <c r="Q16" s="2421"/>
      <c r="R16" s="2421"/>
      <c r="S16" s="2421"/>
      <c r="T16" s="2421"/>
      <c r="U16" s="2421"/>
      <c r="V16" s="2421"/>
      <c r="W16" s="2421"/>
      <c r="X16" s="2421"/>
      <c r="Y16" s="2421"/>
      <c r="Z16" s="2421"/>
      <c r="AA16" s="2421"/>
      <c r="AB16" s="2421"/>
      <c r="AC16" s="2421"/>
      <c r="AD16" s="2421"/>
      <c r="AE16" s="2421"/>
      <c r="AF16" s="2421"/>
      <c r="AG16" s="2421"/>
      <c r="AH16" s="2421"/>
      <c r="AI16" s="2421"/>
      <c r="AJ16" s="2422"/>
      <c r="AK16" s="539"/>
      <c r="AL16" s="539"/>
      <c r="AM16" s="539"/>
      <c r="AN16" s="534"/>
      <c r="AO16" s="549">
        <f>IF($B25="yes",20,0)</f>
        <v>0</v>
      </c>
      <c r="AP16" s="14"/>
    </row>
    <row r="17" spans="1:42" s="535" customFormat="1" ht="12.75" customHeight="1">
      <c r="A17" s="539"/>
      <c r="B17" s="539"/>
      <c r="C17" s="539"/>
      <c r="D17" s="550"/>
      <c r="E17" s="2423"/>
      <c r="F17" s="2424"/>
      <c r="G17" s="2424"/>
      <c r="H17" s="2424"/>
      <c r="I17" s="2424"/>
      <c r="J17" s="2424"/>
      <c r="K17" s="2424"/>
      <c r="L17" s="2424"/>
      <c r="M17" s="2424"/>
      <c r="N17" s="2424"/>
      <c r="O17" s="2424"/>
      <c r="P17" s="2424"/>
      <c r="Q17" s="2424"/>
      <c r="R17" s="2424"/>
      <c r="S17" s="2424"/>
      <c r="T17" s="2424"/>
      <c r="U17" s="2424"/>
      <c r="V17" s="2424"/>
      <c r="W17" s="2424"/>
      <c r="X17" s="2424"/>
      <c r="Y17" s="2424"/>
      <c r="Z17" s="2424"/>
      <c r="AA17" s="2424"/>
      <c r="AB17" s="2424"/>
      <c r="AC17" s="2424"/>
      <c r="AD17" s="2424"/>
      <c r="AE17" s="2424"/>
      <c r="AF17" s="2424"/>
      <c r="AG17" s="2424"/>
      <c r="AH17" s="2424"/>
      <c r="AI17" s="2424"/>
      <c r="AJ17" s="2425"/>
      <c r="AK17" s="539"/>
      <c r="AL17" s="539"/>
      <c r="AM17" s="539"/>
      <c r="AN17" s="534"/>
      <c r="AO17" s="549">
        <f>IF($B28="yes",20,0)</f>
        <v>0</v>
      </c>
    </row>
    <row r="18" spans="1:42" s="535" customFormat="1" ht="12.75" customHeight="1">
      <c r="A18" s="539"/>
      <c r="B18" s="539"/>
      <c r="C18" s="539"/>
      <c r="D18" s="550"/>
      <c r="E18" s="2423"/>
      <c r="F18" s="2424"/>
      <c r="G18" s="2424"/>
      <c r="H18" s="2424"/>
      <c r="I18" s="2424"/>
      <c r="J18" s="2424"/>
      <c r="K18" s="2424"/>
      <c r="L18" s="2424"/>
      <c r="M18" s="2424"/>
      <c r="N18" s="2424"/>
      <c r="O18" s="2424"/>
      <c r="P18" s="2424"/>
      <c r="Q18" s="2424"/>
      <c r="R18" s="2424"/>
      <c r="S18" s="2424"/>
      <c r="T18" s="2424"/>
      <c r="U18" s="2424"/>
      <c r="V18" s="2424"/>
      <c r="W18" s="2424"/>
      <c r="X18" s="2424"/>
      <c r="Y18" s="2424"/>
      <c r="Z18" s="2424"/>
      <c r="AA18" s="2424"/>
      <c r="AB18" s="2424"/>
      <c r="AC18" s="2424"/>
      <c r="AD18" s="2424"/>
      <c r="AE18" s="2424"/>
      <c r="AF18" s="2424"/>
      <c r="AG18" s="2424"/>
      <c r="AH18" s="2424"/>
      <c r="AI18" s="2424"/>
      <c r="AJ18" s="2425"/>
      <c r="AK18" s="539"/>
      <c r="AL18" s="539"/>
      <c r="AM18" s="539"/>
      <c r="AN18" s="534"/>
      <c r="AO18" s="535">
        <f>IF(SUM(AO13:AO16)&gt;20,20,(SUM(AO13:AO16)))</f>
        <v>0</v>
      </c>
      <c r="AP18" s="535" t="s">
        <v>1309</v>
      </c>
    </row>
    <row r="19" spans="1:42" s="535" customFormat="1" ht="12.75" customHeight="1">
      <c r="A19" s="539"/>
      <c r="B19" s="539"/>
      <c r="C19" s="539"/>
      <c r="D19" s="550"/>
      <c r="E19" s="551" t="s">
        <v>1310</v>
      </c>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c r="AI19" s="552"/>
      <c r="AJ19" s="553"/>
      <c r="AK19" s="539"/>
      <c r="AL19" s="539"/>
      <c r="AM19" s="539"/>
      <c r="AN19" s="534"/>
    </row>
    <row r="20" spans="1:42" s="535" customFormat="1" ht="12.75" customHeight="1">
      <c r="A20" s="539"/>
      <c r="B20" s="539"/>
      <c r="C20" s="539"/>
      <c r="D20" s="550"/>
      <c r="E20" s="2451"/>
      <c r="F20" s="2452"/>
      <c r="G20" s="2452"/>
      <c r="H20" s="2452"/>
      <c r="I20" s="2452"/>
      <c r="J20" s="2452"/>
      <c r="K20" s="2452"/>
      <c r="L20" s="2452"/>
      <c r="M20" s="2452"/>
      <c r="N20" s="2452"/>
      <c r="O20" s="2452"/>
      <c r="P20" s="2452"/>
      <c r="Q20" s="2452"/>
      <c r="R20" s="2452"/>
      <c r="S20" s="2452"/>
      <c r="T20" s="2452"/>
      <c r="U20" s="2452"/>
      <c r="V20" s="2452"/>
      <c r="W20" s="2452"/>
      <c r="X20" s="2452"/>
      <c r="Y20" s="2452"/>
      <c r="Z20" s="2452"/>
      <c r="AA20" s="2452"/>
      <c r="AB20" s="2452"/>
      <c r="AC20" s="2452"/>
      <c r="AD20" s="2452"/>
      <c r="AE20" s="2452"/>
      <c r="AF20" s="2452"/>
      <c r="AG20" s="2452"/>
      <c r="AH20" s="2452"/>
      <c r="AI20" s="2452"/>
      <c r="AJ20" s="2453"/>
      <c r="AK20" s="539"/>
      <c r="AL20" s="539"/>
      <c r="AM20" s="539"/>
      <c r="AN20" s="534"/>
      <c r="AO20" s="549">
        <f>IF($B33="yes",14,0)</f>
        <v>0</v>
      </c>
    </row>
    <row r="21" spans="1:42" s="535" customFormat="1" ht="12.75" customHeight="1">
      <c r="A21" s="539"/>
      <c r="B21" s="539"/>
      <c r="C21" s="539"/>
      <c r="E21" s="539"/>
      <c r="F21" s="539"/>
      <c r="G21" s="539"/>
      <c r="H21" s="539"/>
      <c r="I21" s="539"/>
      <c r="J21" s="539"/>
      <c r="K21" s="539"/>
      <c r="L21" s="539"/>
      <c r="M21" s="539"/>
      <c r="N21" s="539"/>
      <c r="O21" s="539"/>
      <c r="P21" s="539"/>
      <c r="Q21" s="539"/>
      <c r="R21" s="539"/>
      <c r="S21" s="539"/>
      <c r="T21" s="539"/>
      <c r="U21" s="539"/>
      <c r="V21" s="539"/>
      <c r="W21" s="539"/>
      <c r="X21" s="539"/>
      <c r="Y21" s="539"/>
      <c r="Z21" s="539"/>
      <c r="AA21" s="539"/>
      <c r="AB21" s="539"/>
      <c r="AC21" s="539"/>
      <c r="AD21" s="539"/>
      <c r="AE21" s="539"/>
      <c r="AF21" s="539"/>
      <c r="AG21" s="539"/>
      <c r="AH21" s="539"/>
      <c r="AI21" s="539"/>
      <c r="AJ21" s="539"/>
      <c r="AK21" s="539"/>
      <c r="AL21" s="539"/>
      <c r="AM21" s="539"/>
      <c r="AN21" s="534"/>
      <c r="AO21" s="549">
        <f>IF($B36="yes",14,0)</f>
        <v>0</v>
      </c>
      <c r="AP21" s="14"/>
    </row>
    <row r="22" spans="1:42" s="535" customFormat="1" ht="12.75" customHeight="1">
      <c r="A22" s="539"/>
      <c r="B22" s="2409" t="s">
        <v>592</v>
      </c>
      <c r="C22" s="2409"/>
      <c r="D22" s="546"/>
      <c r="E22" s="2445" t="s">
        <v>1311</v>
      </c>
      <c r="F22" s="2446"/>
      <c r="G22" s="2446"/>
      <c r="H22" s="2446"/>
      <c r="I22" s="2446"/>
      <c r="J22" s="2446"/>
      <c r="K22" s="2446"/>
      <c r="L22" s="2446"/>
      <c r="M22" s="2446"/>
      <c r="N22" s="2446"/>
      <c r="O22" s="2446"/>
      <c r="P22" s="2446"/>
      <c r="Q22" s="2446"/>
      <c r="R22" s="2446"/>
      <c r="S22" s="2446"/>
      <c r="T22" s="2446"/>
      <c r="U22" s="2446"/>
      <c r="V22" s="2446"/>
      <c r="W22" s="2446"/>
      <c r="X22" s="2446"/>
      <c r="Y22" s="2446"/>
      <c r="Z22" s="2446"/>
      <c r="AA22" s="2446"/>
      <c r="AB22" s="2446"/>
      <c r="AC22" s="2446"/>
      <c r="AD22" s="2446"/>
      <c r="AE22" s="2446"/>
      <c r="AF22" s="2446"/>
      <c r="AG22" s="2446"/>
      <c r="AH22" s="2446"/>
      <c r="AI22" s="2446"/>
      <c r="AJ22" s="2447"/>
      <c r="AK22" s="539"/>
      <c r="AL22" s="539"/>
      <c r="AM22" s="539"/>
      <c r="AN22" s="534"/>
      <c r="AO22" s="549">
        <f>IF($B40="yes",14,0)</f>
        <v>0</v>
      </c>
    </row>
    <row r="23" spans="1:42" s="535" customFormat="1" ht="12.75" customHeight="1">
      <c r="A23" s="539"/>
      <c r="B23" s="539"/>
      <c r="C23" s="539"/>
      <c r="D23" s="549"/>
      <c r="E23" s="2448"/>
      <c r="F23" s="2449"/>
      <c r="G23" s="2449"/>
      <c r="H23" s="2449"/>
      <c r="I23" s="2449"/>
      <c r="J23" s="2449"/>
      <c r="K23" s="2449"/>
      <c r="L23" s="2449"/>
      <c r="M23" s="2449"/>
      <c r="N23" s="2449"/>
      <c r="O23" s="2449"/>
      <c r="P23" s="2449"/>
      <c r="Q23" s="2449"/>
      <c r="R23" s="2449"/>
      <c r="S23" s="2449"/>
      <c r="T23" s="2449"/>
      <c r="U23" s="2449"/>
      <c r="V23" s="2449"/>
      <c r="W23" s="2449"/>
      <c r="X23" s="2449"/>
      <c r="Y23" s="2449"/>
      <c r="Z23" s="2449"/>
      <c r="AA23" s="2449"/>
      <c r="AB23" s="2449"/>
      <c r="AC23" s="2449"/>
      <c r="AD23" s="2449"/>
      <c r="AE23" s="2449"/>
      <c r="AF23" s="2449"/>
      <c r="AG23" s="2449"/>
      <c r="AH23" s="2449"/>
      <c r="AI23" s="2449"/>
      <c r="AJ23" s="2450"/>
      <c r="AK23" s="539"/>
      <c r="AL23" s="539"/>
      <c r="AM23" s="539"/>
      <c r="AN23" s="534"/>
      <c r="AO23" s="535">
        <f>IF(SUM(AO20:AO21)&gt;14,14,SUM(AO20:AO21))</f>
        <v>0</v>
      </c>
      <c r="AP23" s="535" t="s">
        <v>1309</v>
      </c>
    </row>
    <row r="24" spans="1:42" s="535" customFormat="1" ht="12.75" customHeight="1">
      <c r="A24" s="539"/>
      <c r="B24" s="539"/>
      <c r="C24" s="539"/>
      <c r="D24" s="550"/>
      <c r="E24" s="539"/>
      <c r="F24" s="539"/>
      <c r="G24" s="539"/>
      <c r="H24" s="539"/>
      <c r="I24" s="539"/>
      <c r="J24" s="539"/>
      <c r="K24" s="539"/>
      <c r="L24" s="539"/>
      <c r="M24" s="539"/>
      <c r="N24" s="539"/>
      <c r="O24" s="539"/>
      <c r="P24" s="539"/>
      <c r="Q24" s="539"/>
      <c r="R24" s="539"/>
      <c r="S24" s="539"/>
      <c r="T24" s="539"/>
      <c r="U24" s="539"/>
      <c r="V24" s="539"/>
      <c r="W24" s="539"/>
      <c r="X24" s="539"/>
      <c r="Y24" s="539"/>
      <c r="Z24" s="539"/>
      <c r="AA24" s="539"/>
      <c r="AB24" s="539"/>
      <c r="AC24" s="539"/>
      <c r="AD24" s="539"/>
      <c r="AE24" s="539"/>
      <c r="AF24" s="539"/>
      <c r="AG24" s="539"/>
      <c r="AH24" s="539"/>
      <c r="AI24" s="539"/>
      <c r="AJ24" s="539"/>
      <c r="AK24" s="539"/>
      <c r="AL24" s="539"/>
      <c r="AM24" s="539"/>
      <c r="AN24" s="534"/>
    </row>
    <row r="25" spans="1:42" s="535" customFormat="1" ht="12.75" customHeight="1">
      <c r="A25" s="539"/>
      <c r="B25" s="2409" t="s">
        <v>592</v>
      </c>
      <c r="C25" s="2409"/>
      <c r="D25" s="546"/>
      <c r="E25" s="2410" t="s">
        <v>2035</v>
      </c>
      <c r="F25" s="2411"/>
      <c r="G25" s="2411"/>
      <c r="H25" s="2411"/>
      <c r="I25" s="2411"/>
      <c r="J25" s="2411"/>
      <c r="K25" s="2411"/>
      <c r="L25" s="2411"/>
      <c r="M25" s="2411"/>
      <c r="N25" s="2411"/>
      <c r="O25" s="2411"/>
      <c r="P25" s="2411"/>
      <c r="Q25" s="2411"/>
      <c r="R25" s="2411"/>
      <c r="S25" s="2411"/>
      <c r="T25" s="2411"/>
      <c r="U25" s="2411"/>
      <c r="V25" s="2411"/>
      <c r="W25" s="2411"/>
      <c r="X25" s="2411"/>
      <c r="Y25" s="2411"/>
      <c r="Z25" s="2411"/>
      <c r="AA25" s="2411"/>
      <c r="AB25" s="2411"/>
      <c r="AC25" s="2411"/>
      <c r="AD25" s="2411"/>
      <c r="AE25" s="2411"/>
      <c r="AF25" s="2411"/>
      <c r="AG25" s="2411"/>
      <c r="AH25" s="2411"/>
      <c r="AI25" s="2411"/>
      <c r="AJ25" s="2412"/>
      <c r="AK25" s="539"/>
      <c r="AL25" s="539"/>
      <c r="AM25" s="539"/>
      <c r="AN25" s="534"/>
      <c r="AO25" s="549">
        <f>IF($B45="yes",6,0)</f>
        <v>0</v>
      </c>
    </row>
    <row r="26" spans="1:42" s="535" customFormat="1" ht="12.75" customHeight="1">
      <c r="A26" s="539"/>
      <c r="B26" s="539"/>
      <c r="C26" s="539"/>
      <c r="D26" s="549"/>
      <c r="E26" s="2413"/>
      <c r="F26" s="2414"/>
      <c r="G26" s="2414"/>
      <c r="H26" s="2414"/>
      <c r="I26" s="2414"/>
      <c r="J26" s="2414"/>
      <c r="K26" s="2414"/>
      <c r="L26" s="2414"/>
      <c r="M26" s="2414"/>
      <c r="N26" s="2414"/>
      <c r="O26" s="2414"/>
      <c r="P26" s="2414"/>
      <c r="Q26" s="2414"/>
      <c r="R26" s="2414"/>
      <c r="S26" s="2414"/>
      <c r="T26" s="2414"/>
      <c r="U26" s="2414"/>
      <c r="V26" s="2414"/>
      <c r="W26" s="2414"/>
      <c r="X26" s="2414"/>
      <c r="Y26" s="2414"/>
      <c r="Z26" s="2414"/>
      <c r="AA26" s="2414"/>
      <c r="AB26" s="2414"/>
      <c r="AC26" s="2414"/>
      <c r="AD26" s="2414"/>
      <c r="AE26" s="2414"/>
      <c r="AF26" s="2414"/>
      <c r="AG26" s="2414"/>
      <c r="AH26" s="2414"/>
      <c r="AI26" s="2414"/>
      <c r="AJ26" s="2415"/>
      <c r="AK26" s="539"/>
      <c r="AL26" s="539"/>
      <c r="AM26" s="539"/>
      <c r="AN26" s="534"/>
      <c r="AO26" s="535">
        <f>IF(AO25&gt;6,6,AO25)</f>
        <v>0</v>
      </c>
      <c r="AP26" s="535" t="s">
        <v>1309</v>
      </c>
    </row>
    <row r="27" spans="1:42" s="535" customFormat="1" ht="12.75" customHeight="1">
      <c r="A27" s="539"/>
      <c r="B27" s="539"/>
      <c r="C27" s="539"/>
      <c r="D27" s="549"/>
      <c r="E27" s="539"/>
      <c r="F27" s="539"/>
      <c r="G27" s="539"/>
      <c r="H27" s="539"/>
      <c r="I27" s="539"/>
      <c r="J27" s="539"/>
      <c r="K27" s="539"/>
      <c r="L27" s="539"/>
      <c r="M27" s="539"/>
      <c r="N27" s="539"/>
      <c r="O27" s="539"/>
      <c r="P27" s="539"/>
      <c r="Q27" s="539"/>
      <c r="R27" s="539"/>
      <c r="S27" s="539"/>
      <c r="T27" s="539"/>
      <c r="U27" s="539"/>
      <c r="V27" s="539"/>
      <c r="W27" s="539"/>
      <c r="X27" s="539"/>
      <c r="Y27" s="539"/>
      <c r="Z27" s="539"/>
      <c r="AA27" s="539"/>
      <c r="AB27" s="539"/>
      <c r="AC27" s="539"/>
      <c r="AD27" s="539"/>
      <c r="AE27" s="539"/>
      <c r="AF27" s="539"/>
      <c r="AG27" s="539"/>
      <c r="AH27" s="539"/>
      <c r="AI27" s="539"/>
      <c r="AJ27" s="539"/>
      <c r="AK27" s="539"/>
      <c r="AL27" s="539"/>
      <c r="AM27" s="539"/>
      <c r="AN27" s="534"/>
      <c r="AO27" s="549"/>
    </row>
    <row r="28" spans="1:42" s="535" customFormat="1" ht="12.75" customHeight="1">
      <c r="A28" s="539"/>
      <c r="B28" s="2409" t="s">
        <v>592</v>
      </c>
      <c r="C28" s="2409"/>
      <c r="D28" s="546"/>
      <c r="E28" s="2433" t="s">
        <v>2251</v>
      </c>
      <c r="F28" s="2434"/>
      <c r="G28" s="2434"/>
      <c r="H28" s="2434"/>
      <c r="I28" s="2434"/>
      <c r="J28" s="2434"/>
      <c r="K28" s="2434"/>
      <c r="L28" s="2434"/>
      <c r="M28" s="2434"/>
      <c r="N28" s="2434"/>
      <c r="O28" s="2434"/>
      <c r="P28" s="2434"/>
      <c r="Q28" s="2434"/>
      <c r="R28" s="2434"/>
      <c r="S28" s="2434"/>
      <c r="T28" s="2434"/>
      <c r="U28" s="2434"/>
      <c r="V28" s="2434"/>
      <c r="W28" s="2434"/>
      <c r="X28" s="2434"/>
      <c r="Y28" s="2434"/>
      <c r="Z28" s="2434"/>
      <c r="AA28" s="2434"/>
      <c r="AB28" s="2434"/>
      <c r="AC28" s="2434"/>
      <c r="AD28" s="2434"/>
      <c r="AE28" s="2434"/>
      <c r="AF28" s="2434"/>
      <c r="AG28" s="2434"/>
      <c r="AH28" s="2434"/>
      <c r="AI28" s="2434"/>
      <c r="AJ28" s="2435"/>
      <c r="AK28" s="539"/>
      <c r="AL28" s="539"/>
      <c r="AM28" s="539"/>
      <c r="AN28" s="534"/>
      <c r="AO28" s="549"/>
    </row>
    <row r="29" spans="1:42" s="535" customFormat="1" ht="12.75" customHeight="1">
      <c r="A29" s="539"/>
      <c r="B29" s="539"/>
      <c r="C29" s="539"/>
      <c r="D29" s="549"/>
      <c r="E29" s="539"/>
      <c r="F29" s="539"/>
      <c r="G29" s="539"/>
      <c r="H29" s="539"/>
      <c r="I29" s="539"/>
      <c r="J29" s="539"/>
      <c r="K29" s="539"/>
      <c r="L29" s="539"/>
      <c r="M29" s="539"/>
      <c r="N29" s="539"/>
      <c r="O29" s="539"/>
      <c r="P29" s="539"/>
      <c r="Q29" s="539"/>
      <c r="R29" s="539"/>
      <c r="S29" s="539"/>
      <c r="T29" s="539"/>
      <c r="U29" s="539"/>
      <c r="V29" s="539"/>
      <c r="W29" s="539"/>
      <c r="X29" s="539"/>
      <c r="Y29" s="539"/>
      <c r="Z29" s="539"/>
      <c r="AA29" s="539"/>
      <c r="AB29" s="539"/>
      <c r="AC29" s="539"/>
      <c r="AD29" s="539"/>
      <c r="AE29" s="539"/>
      <c r="AF29" s="539"/>
      <c r="AG29" s="539"/>
      <c r="AH29" s="539"/>
      <c r="AI29" s="539"/>
      <c r="AJ29" s="539"/>
      <c r="AK29" s="539"/>
      <c r="AL29" s="539"/>
      <c r="AM29" s="539"/>
      <c r="AN29" s="534"/>
      <c r="AO29" s="549"/>
    </row>
    <row r="30" spans="1:42" s="535" customFormat="1" ht="12.75" customHeight="1">
      <c r="A30" s="539"/>
      <c r="B30" s="539"/>
      <c r="C30" s="539"/>
      <c r="D30" s="549"/>
      <c r="E30" s="539"/>
      <c r="F30" s="539"/>
      <c r="G30" s="539"/>
      <c r="H30" s="539"/>
      <c r="I30" s="539"/>
      <c r="J30" s="539"/>
      <c r="K30" s="539"/>
      <c r="L30" s="539"/>
      <c r="M30" s="539"/>
      <c r="N30" s="539"/>
      <c r="O30" s="539"/>
      <c r="P30" s="539"/>
      <c r="Q30" s="539"/>
      <c r="R30" s="539"/>
      <c r="S30" s="539"/>
      <c r="T30" s="539"/>
      <c r="U30" s="539"/>
      <c r="V30" s="539"/>
      <c r="W30" s="539"/>
      <c r="X30" s="539"/>
      <c r="Y30" s="539"/>
      <c r="Z30" s="539"/>
      <c r="AA30" s="539"/>
      <c r="AB30" s="539"/>
      <c r="AC30" s="539"/>
      <c r="AD30" s="539"/>
      <c r="AE30" s="539"/>
      <c r="AF30" s="539"/>
      <c r="AG30" s="539"/>
      <c r="AH30" s="539"/>
      <c r="AI30" s="539"/>
      <c r="AJ30" s="539"/>
      <c r="AK30" s="539"/>
      <c r="AL30" s="539"/>
      <c r="AM30" s="539"/>
      <c r="AN30" s="534"/>
      <c r="AO30" s="549"/>
    </row>
    <row r="31" spans="1:42" s="535" customFormat="1" ht="12.75" customHeight="1">
      <c r="A31" s="539"/>
      <c r="C31" s="543" t="s">
        <v>2009</v>
      </c>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4"/>
      <c r="AO31" s="549">
        <f>IF(AND(B52="Yes",B56="Yes",B58="Yes"),20,0)</f>
        <v>0</v>
      </c>
    </row>
    <row r="32" spans="1:42" s="535" customFormat="1" ht="12.75" customHeight="1">
      <c r="A32" s="539"/>
      <c r="B32" s="539"/>
      <c r="C32" s="539"/>
      <c r="E32" s="539"/>
      <c r="F32" s="539"/>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c r="AH32" s="539"/>
      <c r="AI32" s="539"/>
      <c r="AJ32" s="539"/>
      <c r="AK32" s="539"/>
      <c r="AL32" s="539"/>
      <c r="AM32" s="539"/>
      <c r="AN32" s="534"/>
      <c r="AO32" s="535">
        <f>IF(AO31&gt;20,20,AO31)</f>
        <v>0</v>
      </c>
      <c r="AP32" s="535" t="s">
        <v>1309</v>
      </c>
    </row>
    <row r="33" spans="1:41" s="535" customFormat="1" ht="12.75" customHeight="1">
      <c r="A33" s="539"/>
      <c r="B33" s="2409" t="s">
        <v>592</v>
      </c>
      <c r="C33" s="2409"/>
      <c r="D33" s="546"/>
      <c r="E33" s="2445" t="s">
        <v>2253</v>
      </c>
      <c r="F33" s="2446"/>
      <c r="G33" s="2446"/>
      <c r="H33" s="2446"/>
      <c r="I33" s="2446"/>
      <c r="J33" s="2446"/>
      <c r="K33" s="2446"/>
      <c r="L33" s="2446"/>
      <c r="M33" s="2446"/>
      <c r="N33" s="2446"/>
      <c r="O33" s="2446"/>
      <c r="P33" s="2446"/>
      <c r="Q33" s="2446"/>
      <c r="R33" s="2446"/>
      <c r="S33" s="2446"/>
      <c r="T33" s="2446"/>
      <c r="U33" s="2446"/>
      <c r="V33" s="2446"/>
      <c r="W33" s="2446"/>
      <c r="X33" s="2446"/>
      <c r="Y33" s="2446"/>
      <c r="Z33" s="2446"/>
      <c r="AA33" s="2446"/>
      <c r="AB33" s="2446"/>
      <c r="AC33" s="2446"/>
      <c r="AD33" s="2446"/>
      <c r="AE33" s="2446"/>
      <c r="AF33" s="2446"/>
      <c r="AG33" s="2446"/>
      <c r="AH33" s="2446"/>
      <c r="AI33" s="2446"/>
      <c r="AJ33" s="2447"/>
      <c r="AK33" s="539"/>
      <c r="AL33" s="539"/>
      <c r="AM33" s="539"/>
      <c r="AN33" s="534"/>
      <c r="AO33" s="549"/>
    </row>
    <row r="34" spans="1:41" s="535" customFormat="1" ht="12.75" customHeight="1">
      <c r="A34" s="539"/>
      <c r="B34" s="539"/>
      <c r="C34" s="539"/>
      <c r="E34" s="2448"/>
      <c r="F34" s="2449"/>
      <c r="G34" s="2449"/>
      <c r="H34" s="2449"/>
      <c r="I34" s="2449"/>
      <c r="J34" s="2449"/>
      <c r="K34" s="2449"/>
      <c r="L34" s="2449"/>
      <c r="M34" s="2449"/>
      <c r="N34" s="2449"/>
      <c r="O34" s="2449"/>
      <c r="P34" s="2449"/>
      <c r="Q34" s="2449"/>
      <c r="R34" s="2449"/>
      <c r="S34" s="2449"/>
      <c r="T34" s="2449"/>
      <c r="U34" s="2449"/>
      <c r="V34" s="2449"/>
      <c r="W34" s="2449"/>
      <c r="X34" s="2449"/>
      <c r="Y34" s="2449"/>
      <c r="Z34" s="2449"/>
      <c r="AA34" s="2449"/>
      <c r="AB34" s="2449"/>
      <c r="AC34" s="2449"/>
      <c r="AD34" s="2449"/>
      <c r="AE34" s="2449"/>
      <c r="AF34" s="2449"/>
      <c r="AG34" s="2449"/>
      <c r="AH34" s="2449"/>
      <c r="AI34" s="2449"/>
      <c r="AJ34" s="2450"/>
      <c r="AK34" s="539"/>
      <c r="AL34" s="539"/>
      <c r="AM34" s="539"/>
      <c r="AN34" s="534"/>
    </row>
    <row r="35" spans="1:41" s="535" customFormat="1" ht="12.75" customHeight="1">
      <c r="A35" s="539"/>
      <c r="B35" s="539"/>
      <c r="C35" s="539"/>
      <c r="F35" s="905"/>
      <c r="G35" s="905"/>
      <c r="H35" s="905"/>
      <c r="I35" s="905"/>
      <c r="J35" s="905"/>
      <c r="K35" s="905"/>
      <c r="L35" s="905"/>
      <c r="M35" s="905"/>
      <c r="N35" s="905"/>
      <c r="O35" s="905"/>
      <c r="P35" s="905"/>
      <c r="Q35" s="905"/>
      <c r="R35" s="905"/>
      <c r="S35" s="905"/>
      <c r="T35" s="905"/>
      <c r="U35" s="905"/>
      <c r="V35" s="905"/>
      <c r="W35" s="905"/>
      <c r="X35" s="905"/>
      <c r="Y35" s="905"/>
      <c r="Z35" s="905"/>
      <c r="AA35" s="905"/>
      <c r="AB35" s="905"/>
      <c r="AC35" s="905"/>
      <c r="AD35" s="905"/>
      <c r="AE35" s="905"/>
      <c r="AF35" s="905"/>
      <c r="AG35" s="905"/>
      <c r="AH35" s="905"/>
      <c r="AI35" s="905"/>
      <c r="AJ35" s="905"/>
      <c r="AK35" s="539"/>
      <c r="AL35" s="539"/>
      <c r="AM35" s="539"/>
      <c r="AN35" s="534"/>
    </row>
    <row r="36" spans="1:41" s="535" customFormat="1" ht="12.75" customHeight="1">
      <c r="A36" s="539"/>
      <c r="B36" s="2409" t="s">
        <v>592</v>
      </c>
      <c r="C36" s="2409"/>
      <c r="D36" s="546"/>
      <c r="E36" s="2410" t="s">
        <v>2254</v>
      </c>
      <c r="F36" s="2411"/>
      <c r="G36" s="2411"/>
      <c r="H36" s="2411"/>
      <c r="I36" s="2411"/>
      <c r="J36" s="2411"/>
      <c r="K36" s="2411"/>
      <c r="L36" s="2411"/>
      <c r="M36" s="2411"/>
      <c r="N36" s="2411"/>
      <c r="O36" s="2411"/>
      <c r="P36" s="2411"/>
      <c r="Q36" s="2411"/>
      <c r="R36" s="2411"/>
      <c r="S36" s="2411"/>
      <c r="T36" s="2411"/>
      <c r="U36" s="2411"/>
      <c r="V36" s="2411"/>
      <c r="W36" s="2411"/>
      <c r="X36" s="2411"/>
      <c r="Y36" s="2411"/>
      <c r="Z36" s="2411"/>
      <c r="AA36" s="2411"/>
      <c r="AB36" s="2411"/>
      <c r="AC36" s="2411"/>
      <c r="AD36" s="2411"/>
      <c r="AE36" s="2411"/>
      <c r="AF36" s="2411"/>
      <c r="AG36" s="2411"/>
      <c r="AH36" s="2411"/>
      <c r="AI36" s="2411"/>
      <c r="AJ36" s="2412"/>
      <c r="AK36" s="539"/>
      <c r="AL36" s="539"/>
      <c r="AM36" s="539"/>
      <c r="AN36" s="534"/>
    </row>
    <row r="37" spans="1:41" s="535" customFormat="1" ht="12.75" customHeight="1">
      <c r="A37" s="539"/>
      <c r="B37" s="539"/>
      <c r="C37" s="539"/>
      <c r="E37" s="2416"/>
      <c r="F37" s="2417"/>
      <c r="G37" s="2417"/>
      <c r="H37" s="2417"/>
      <c r="I37" s="2417"/>
      <c r="J37" s="2417"/>
      <c r="K37" s="2417"/>
      <c r="L37" s="2417"/>
      <c r="M37" s="2417"/>
      <c r="N37" s="2417"/>
      <c r="O37" s="2417"/>
      <c r="P37" s="2417"/>
      <c r="Q37" s="2417"/>
      <c r="R37" s="2417"/>
      <c r="S37" s="2417"/>
      <c r="T37" s="2417"/>
      <c r="U37" s="2417"/>
      <c r="V37" s="2417"/>
      <c r="W37" s="2417"/>
      <c r="X37" s="2417"/>
      <c r="Y37" s="2417"/>
      <c r="Z37" s="2417"/>
      <c r="AA37" s="2417"/>
      <c r="AB37" s="2417"/>
      <c r="AC37" s="2417"/>
      <c r="AD37" s="2417"/>
      <c r="AE37" s="2417"/>
      <c r="AF37" s="2417"/>
      <c r="AG37" s="2417"/>
      <c r="AH37" s="2417"/>
      <c r="AI37" s="2417"/>
      <c r="AJ37" s="2418"/>
      <c r="AK37" s="539"/>
      <c r="AL37" s="539"/>
      <c r="AM37" s="539"/>
      <c r="AN37" s="534"/>
    </row>
    <row r="38" spans="1:41" s="535" customFormat="1" ht="12.75" customHeight="1">
      <c r="A38" s="539"/>
      <c r="B38" s="539"/>
      <c r="C38" s="539"/>
      <c r="E38" s="2413"/>
      <c r="F38" s="2414"/>
      <c r="G38" s="2414"/>
      <c r="H38" s="2414"/>
      <c r="I38" s="2414"/>
      <c r="J38" s="2414"/>
      <c r="K38" s="2414"/>
      <c r="L38" s="2414"/>
      <c r="M38" s="2414"/>
      <c r="N38" s="2414"/>
      <c r="O38" s="2414"/>
      <c r="P38" s="2414"/>
      <c r="Q38" s="2414"/>
      <c r="R38" s="2414"/>
      <c r="S38" s="2414"/>
      <c r="T38" s="2414"/>
      <c r="U38" s="2414"/>
      <c r="V38" s="2414"/>
      <c r="W38" s="2414"/>
      <c r="X38" s="2414"/>
      <c r="Y38" s="2414"/>
      <c r="Z38" s="2414"/>
      <c r="AA38" s="2414"/>
      <c r="AB38" s="2414"/>
      <c r="AC38" s="2414"/>
      <c r="AD38" s="2414"/>
      <c r="AE38" s="2414"/>
      <c r="AF38" s="2414"/>
      <c r="AG38" s="2414"/>
      <c r="AH38" s="2414"/>
      <c r="AI38" s="2414"/>
      <c r="AJ38" s="2415"/>
      <c r="AK38" s="539"/>
      <c r="AL38" s="539"/>
      <c r="AM38" s="539"/>
      <c r="AN38" s="534"/>
    </row>
    <row r="39" spans="1:41" s="535" customFormat="1" ht="12.75" customHeight="1">
      <c r="A39" s="539"/>
      <c r="B39" s="539"/>
      <c r="C39" s="539"/>
      <c r="E39" s="539"/>
      <c r="F39" s="539"/>
      <c r="G39" s="539"/>
      <c r="H39" s="539"/>
      <c r="I39" s="539"/>
      <c r="J39" s="539"/>
      <c r="K39" s="539"/>
      <c r="L39" s="539"/>
      <c r="M39" s="539"/>
      <c r="N39" s="539"/>
      <c r="O39" s="539"/>
      <c r="P39" s="539"/>
      <c r="Q39" s="539"/>
      <c r="R39" s="539"/>
      <c r="S39" s="539"/>
      <c r="T39" s="539"/>
      <c r="U39" s="539"/>
      <c r="V39" s="539"/>
      <c r="W39" s="539"/>
      <c r="X39" s="539"/>
      <c r="Y39" s="539"/>
      <c r="Z39" s="539"/>
      <c r="AA39" s="539"/>
      <c r="AB39" s="539"/>
      <c r="AC39" s="539"/>
      <c r="AD39" s="539"/>
      <c r="AE39" s="539"/>
      <c r="AF39" s="539"/>
      <c r="AG39" s="539"/>
      <c r="AH39" s="539"/>
      <c r="AI39" s="539"/>
      <c r="AJ39" s="539"/>
      <c r="AK39" s="539"/>
      <c r="AL39" s="539"/>
      <c r="AM39" s="539"/>
      <c r="AN39" s="534"/>
      <c r="AO39" s="535">
        <f>MAX(AO18,AO23,AO26,AO32)</f>
        <v>0</v>
      </c>
    </row>
    <row r="40" spans="1:41" s="535" customFormat="1" ht="12.75" customHeight="1">
      <c r="A40" s="539"/>
      <c r="B40" s="2409" t="s">
        <v>592</v>
      </c>
      <c r="C40" s="2409"/>
      <c r="D40" s="546"/>
      <c r="E40" s="2410" t="s">
        <v>2252</v>
      </c>
      <c r="F40" s="2411"/>
      <c r="G40" s="2411"/>
      <c r="H40" s="2411"/>
      <c r="I40" s="2411"/>
      <c r="J40" s="2411"/>
      <c r="K40" s="2411"/>
      <c r="L40" s="2411"/>
      <c r="M40" s="2411"/>
      <c r="N40" s="2411"/>
      <c r="O40" s="2411"/>
      <c r="P40" s="2411"/>
      <c r="Q40" s="2411"/>
      <c r="R40" s="2411"/>
      <c r="S40" s="2411"/>
      <c r="T40" s="2411"/>
      <c r="U40" s="2411"/>
      <c r="V40" s="2411"/>
      <c r="W40" s="2411"/>
      <c r="X40" s="2411"/>
      <c r="Y40" s="2411"/>
      <c r="Z40" s="2411"/>
      <c r="AA40" s="2411"/>
      <c r="AB40" s="2411"/>
      <c r="AC40" s="2411"/>
      <c r="AD40" s="2411"/>
      <c r="AE40" s="2411"/>
      <c r="AF40" s="2411"/>
      <c r="AG40" s="2411"/>
      <c r="AH40" s="2411"/>
      <c r="AI40" s="2411"/>
      <c r="AJ40" s="2412"/>
      <c r="AK40" s="539"/>
      <c r="AL40" s="539"/>
      <c r="AM40" s="539"/>
      <c r="AN40" s="534"/>
    </row>
    <row r="41" spans="1:41" s="535" customFormat="1" ht="12.75" customHeight="1">
      <c r="A41" s="539"/>
      <c r="B41" s="539"/>
      <c r="C41" s="539"/>
      <c r="E41" s="2413"/>
      <c r="F41" s="2414"/>
      <c r="G41" s="2414"/>
      <c r="H41" s="2414"/>
      <c r="I41" s="2414"/>
      <c r="J41" s="2414"/>
      <c r="K41" s="2414"/>
      <c r="L41" s="2414"/>
      <c r="M41" s="2414"/>
      <c r="N41" s="2414"/>
      <c r="O41" s="2414"/>
      <c r="P41" s="2414"/>
      <c r="Q41" s="2414"/>
      <c r="R41" s="2414"/>
      <c r="S41" s="2414"/>
      <c r="T41" s="2414"/>
      <c r="U41" s="2414"/>
      <c r="V41" s="2414"/>
      <c r="W41" s="2414"/>
      <c r="X41" s="2414"/>
      <c r="Y41" s="2414"/>
      <c r="Z41" s="2414"/>
      <c r="AA41" s="2414"/>
      <c r="AB41" s="2414"/>
      <c r="AC41" s="2414"/>
      <c r="AD41" s="2414"/>
      <c r="AE41" s="2414"/>
      <c r="AF41" s="2414"/>
      <c r="AG41" s="2414"/>
      <c r="AH41" s="2414"/>
      <c r="AI41" s="2414"/>
      <c r="AJ41" s="2415"/>
      <c r="AK41" s="539"/>
      <c r="AL41" s="539"/>
      <c r="AM41" s="539"/>
      <c r="AN41" s="534"/>
    </row>
    <row r="42" spans="1:41" s="535" customFormat="1" ht="12.75" customHeight="1">
      <c r="A42" s="539"/>
      <c r="B42" s="539"/>
      <c r="C42" s="539"/>
      <c r="E42" s="539"/>
      <c r="F42" s="539"/>
      <c r="G42" s="539"/>
      <c r="H42" s="539"/>
      <c r="I42" s="539"/>
      <c r="J42" s="539"/>
      <c r="K42" s="539"/>
      <c r="L42" s="539"/>
      <c r="M42" s="539"/>
      <c r="N42" s="539"/>
      <c r="O42" s="539"/>
      <c r="P42" s="539"/>
      <c r="Q42" s="539"/>
      <c r="R42" s="539"/>
      <c r="S42" s="539"/>
      <c r="T42" s="539"/>
      <c r="U42" s="539"/>
      <c r="V42" s="539"/>
      <c r="W42" s="539"/>
      <c r="X42" s="539"/>
      <c r="Y42" s="539"/>
      <c r="Z42" s="539"/>
      <c r="AA42" s="539"/>
      <c r="AB42" s="539"/>
      <c r="AC42" s="539"/>
      <c r="AD42" s="539"/>
      <c r="AE42" s="539"/>
      <c r="AF42" s="539"/>
      <c r="AG42" s="539"/>
      <c r="AH42" s="539"/>
      <c r="AI42" s="539"/>
      <c r="AJ42" s="539"/>
      <c r="AK42" s="539"/>
      <c r="AL42" s="539"/>
      <c r="AM42" s="539"/>
      <c r="AN42" s="534"/>
      <c r="AO42" s="535">
        <f>MAX(AO18,AO23,AO26,AO32)</f>
        <v>0</v>
      </c>
    </row>
    <row r="43" spans="1:41" s="535" customFormat="1" ht="12.75" customHeight="1">
      <c r="A43" s="539"/>
      <c r="C43" s="543" t="s">
        <v>2011</v>
      </c>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9"/>
      <c r="AE43" s="539"/>
      <c r="AF43" s="539"/>
      <c r="AG43" s="539"/>
      <c r="AH43" s="539"/>
      <c r="AI43" s="539"/>
      <c r="AJ43" s="539"/>
      <c r="AK43" s="539"/>
      <c r="AL43" s="539"/>
      <c r="AM43" s="539"/>
      <c r="AN43" s="534"/>
    </row>
    <row r="44" spans="1:41" s="535" customFormat="1" ht="12.75" customHeight="1">
      <c r="A44" s="539"/>
      <c r="C44" s="1141"/>
      <c r="D44" s="1141"/>
      <c r="E44" s="1141"/>
      <c r="F44" s="1141"/>
      <c r="G44" s="1141"/>
      <c r="H44" s="1141"/>
      <c r="I44" s="1141"/>
      <c r="J44" s="1141"/>
      <c r="K44" s="1141"/>
      <c r="L44" s="1141"/>
      <c r="M44" s="1141"/>
      <c r="N44" s="1141"/>
      <c r="O44" s="1141"/>
      <c r="P44" s="1141"/>
      <c r="Q44" s="1141"/>
      <c r="R44" s="1141"/>
      <c r="S44" s="1141"/>
      <c r="T44" s="1141"/>
      <c r="U44" s="1141"/>
      <c r="V44" s="1141"/>
      <c r="W44" s="1141"/>
      <c r="X44" s="1141"/>
      <c r="Y44" s="1141"/>
      <c r="Z44" s="1141"/>
      <c r="AA44" s="1141"/>
      <c r="AB44" s="1141"/>
      <c r="AC44" s="1141"/>
      <c r="AD44" s="1141"/>
      <c r="AE44" s="1141"/>
      <c r="AF44" s="1141"/>
      <c r="AG44" s="1141"/>
      <c r="AH44" s="1141"/>
      <c r="AI44" s="1141"/>
      <c r="AJ44" s="1141"/>
      <c r="AK44" s="1141"/>
      <c r="AL44" s="539"/>
      <c r="AM44" s="539"/>
      <c r="AN44" s="534"/>
    </row>
    <row r="45" spans="1:41" s="535" customFormat="1" ht="12.75" customHeight="1">
      <c r="A45" s="539"/>
      <c r="B45" s="2409" t="s">
        <v>592</v>
      </c>
      <c r="C45" s="2409"/>
      <c r="D45" s="1141"/>
      <c r="E45" s="2410" t="s">
        <v>2010</v>
      </c>
      <c r="F45" s="2411"/>
      <c r="G45" s="2411"/>
      <c r="H45" s="2411"/>
      <c r="I45" s="2411"/>
      <c r="J45" s="2411"/>
      <c r="K45" s="2411"/>
      <c r="L45" s="2411"/>
      <c r="M45" s="2411"/>
      <c r="N45" s="2411"/>
      <c r="O45" s="2411"/>
      <c r="P45" s="2411"/>
      <c r="Q45" s="2411"/>
      <c r="R45" s="2411"/>
      <c r="S45" s="2411"/>
      <c r="T45" s="2411"/>
      <c r="U45" s="2411"/>
      <c r="V45" s="2411"/>
      <c r="W45" s="2411"/>
      <c r="X45" s="2411"/>
      <c r="Y45" s="2411"/>
      <c r="Z45" s="2411"/>
      <c r="AA45" s="2411"/>
      <c r="AB45" s="2411"/>
      <c r="AC45" s="2411"/>
      <c r="AD45" s="2411"/>
      <c r="AE45" s="2411"/>
      <c r="AF45" s="2411"/>
      <c r="AG45" s="2411"/>
      <c r="AH45" s="2411"/>
      <c r="AI45" s="2411"/>
      <c r="AJ45" s="2412"/>
      <c r="AK45" s="1141"/>
      <c r="AL45" s="539"/>
      <c r="AM45" s="539"/>
      <c r="AN45" s="534"/>
    </row>
    <row r="46" spans="1:41" s="535" customFormat="1" ht="12.75" customHeight="1">
      <c r="A46" s="539"/>
      <c r="B46" s="539"/>
      <c r="C46" s="539"/>
      <c r="E46" s="2416"/>
      <c r="F46" s="2417"/>
      <c r="G46" s="2417"/>
      <c r="H46" s="2417"/>
      <c r="I46" s="2417"/>
      <c r="J46" s="2417"/>
      <c r="K46" s="2417"/>
      <c r="L46" s="2417"/>
      <c r="M46" s="2417"/>
      <c r="N46" s="2417"/>
      <c r="O46" s="2417"/>
      <c r="P46" s="2417"/>
      <c r="Q46" s="2417"/>
      <c r="R46" s="2417"/>
      <c r="S46" s="2417"/>
      <c r="T46" s="2417"/>
      <c r="U46" s="2417"/>
      <c r="V46" s="2417"/>
      <c r="W46" s="2417"/>
      <c r="X46" s="2417"/>
      <c r="Y46" s="2417"/>
      <c r="Z46" s="2417"/>
      <c r="AA46" s="2417"/>
      <c r="AB46" s="2417"/>
      <c r="AC46" s="2417"/>
      <c r="AD46" s="2417"/>
      <c r="AE46" s="2417"/>
      <c r="AF46" s="2417"/>
      <c r="AG46" s="2417"/>
      <c r="AH46" s="2417"/>
      <c r="AI46" s="2417"/>
      <c r="AJ46" s="2418"/>
      <c r="AK46" s="539"/>
      <c r="AL46" s="539"/>
      <c r="AM46" s="539"/>
      <c r="AN46" s="534"/>
    </row>
    <row r="47" spans="1:41" s="535" customFormat="1" ht="12.75" customHeight="1">
      <c r="A47" s="539"/>
      <c r="D47" s="546"/>
      <c r="E47" s="2413"/>
      <c r="F47" s="2414"/>
      <c r="G47" s="2414"/>
      <c r="H47" s="2414"/>
      <c r="I47" s="2414"/>
      <c r="J47" s="2414"/>
      <c r="K47" s="2414"/>
      <c r="L47" s="2414"/>
      <c r="M47" s="2414"/>
      <c r="N47" s="2414"/>
      <c r="O47" s="2414"/>
      <c r="P47" s="2414"/>
      <c r="Q47" s="2414"/>
      <c r="R47" s="2414"/>
      <c r="S47" s="2414"/>
      <c r="T47" s="2414"/>
      <c r="U47" s="2414"/>
      <c r="V47" s="2414"/>
      <c r="W47" s="2414"/>
      <c r="X47" s="2414"/>
      <c r="Y47" s="2414"/>
      <c r="Z47" s="2414"/>
      <c r="AA47" s="2414"/>
      <c r="AB47" s="2414"/>
      <c r="AC47" s="2414"/>
      <c r="AD47" s="2414"/>
      <c r="AE47" s="2414"/>
      <c r="AF47" s="2414"/>
      <c r="AG47" s="2414"/>
      <c r="AH47" s="2414"/>
      <c r="AI47" s="2414"/>
      <c r="AJ47" s="2415"/>
      <c r="AK47" s="539"/>
      <c r="AL47" s="539"/>
      <c r="AM47" s="539"/>
      <c r="AN47" s="534"/>
      <c r="AO47" s="555"/>
    </row>
    <row r="48" spans="1:41" s="535" customFormat="1" ht="12.75" customHeight="1">
      <c r="A48" s="539"/>
      <c r="B48" s="539"/>
      <c r="C48" s="539"/>
      <c r="E48" s="539"/>
      <c r="F48" s="539"/>
      <c r="G48" s="539"/>
      <c r="H48" s="539"/>
      <c r="I48" s="539"/>
      <c r="J48" s="539"/>
      <c r="K48" s="539"/>
      <c r="L48" s="539"/>
      <c r="M48" s="539"/>
      <c r="N48" s="539"/>
      <c r="O48" s="539"/>
      <c r="P48" s="539"/>
      <c r="Q48" s="539"/>
      <c r="R48" s="539"/>
      <c r="S48" s="539"/>
      <c r="T48" s="539"/>
      <c r="U48" s="539"/>
      <c r="V48" s="539"/>
      <c r="W48" s="539"/>
      <c r="X48" s="539"/>
      <c r="Y48" s="539"/>
      <c r="Z48" s="539"/>
      <c r="AA48" s="539"/>
      <c r="AB48" s="539"/>
      <c r="AC48" s="539"/>
      <c r="AD48" s="539"/>
      <c r="AE48" s="539"/>
      <c r="AF48" s="539"/>
      <c r="AG48" s="539"/>
      <c r="AH48" s="539"/>
      <c r="AI48" s="539"/>
      <c r="AJ48" s="539"/>
      <c r="AK48" s="539"/>
      <c r="AL48" s="539"/>
      <c r="AM48" s="539"/>
      <c r="AN48" s="534"/>
      <c r="AO48" s="555"/>
    </row>
    <row r="49" spans="1:50" s="535" customFormat="1" ht="12.75" customHeight="1">
      <c r="A49" s="538"/>
      <c r="B49" s="538" t="s">
        <v>2013</v>
      </c>
      <c r="C49" s="546"/>
      <c r="D49" s="546"/>
      <c r="E49" s="556"/>
      <c r="F49" s="539"/>
      <c r="G49" s="539"/>
      <c r="H49" s="539"/>
      <c r="I49" s="539"/>
      <c r="J49" s="539"/>
      <c r="K49" s="539"/>
      <c r="L49" s="539"/>
      <c r="M49" s="539"/>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39"/>
      <c r="AM49" s="539"/>
      <c r="AN49" s="534"/>
      <c r="AO49" s="555"/>
    </row>
    <row r="50" spans="1:50" s="535" customFormat="1" ht="12.75" customHeight="1">
      <c r="A50" s="539"/>
      <c r="B50" s="539"/>
      <c r="C50" s="1140" t="s">
        <v>2014</v>
      </c>
      <c r="D50" s="539"/>
      <c r="E50" s="539"/>
      <c r="F50" s="539"/>
      <c r="G50" s="539"/>
      <c r="H50" s="539"/>
      <c r="I50" s="539"/>
      <c r="J50" s="539"/>
      <c r="K50" s="539"/>
      <c r="L50" s="539"/>
      <c r="M50" s="539"/>
      <c r="N50" s="539"/>
      <c r="O50" s="539"/>
      <c r="P50" s="539"/>
      <c r="Q50" s="539"/>
      <c r="R50" s="539"/>
      <c r="S50" s="539"/>
      <c r="T50" s="539"/>
      <c r="U50" s="539"/>
      <c r="V50" s="539"/>
      <c r="W50" s="539"/>
      <c r="X50" s="539"/>
      <c r="Y50" s="539"/>
      <c r="Z50" s="539"/>
      <c r="AA50" s="539"/>
      <c r="AB50" s="539"/>
      <c r="AC50" s="539"/>
      <c r="AD50" s="539"/>
      <c r="AE50" s="539"/>
      <c r="AF50" s="539"/>
      <c r="AG50" s="539"/>
      <c r="AH50" s="539"/>
      <c r="AI50" s="539"/>
      <c r="AJ50" s="539"/>
      <c r="AK50" s="539"/>
      <c r="AL50" s="539"/>
      <c r="AM50" s="539"/>
      <c r="AN50" s="534"/>
      <c r="AO50" s="555"/>
    </row>
    <row r="51" spans="1:50" s="535" customFormat="1" ht="12.75" customHeight="1">
      <c r="A51" s="546"/>
      <c r="B51" s="546"/>
      <c r="C51" s="546"/>
      <c r="D51" s="546"/>
      <c r="E51" s="557"/>
      <c r="F51" s="539"/>
      <c r="G51" s="539"/>
      <c r="H51" s="539"/>
      <c r="I51" s="539"/>
      <c r="J51" s="539"/>
      <c r="K51" s="539"/>
      <c r="L51" s="539"/>
      <c r="M51" s="539"/>
      <c r="N51" s="539"/>
      <c r="O51" s="539"/>
      <c r="P51" s="539"/>
      <c r="Q51" s="539"/>
      <c r="R51" s="539"/>
      <c r="S51" s="539"/>
      <c r="T51" s="539"/>
      <c r="U51" s="539"/>
      <c r="V51" s="539"/>
      <c r="W51" s="539"/>
      <c r="X51" s="539"/>
      <c r="Y51" s="539"/>
      <c r="Z51" s="539"/>
      <c r="AA51" s="539"/>
      <c r="AB51" s="539"/>
      <c r="AC51" s="539"/>
      <c r="AD51" s="539"/>
      <c r="AE51" s="539"/>
      <c r="AF51" s="539"/>
      <c r="AG51" s="539"/>
      <c r="AH51" s="539"/>
      <c r="AI51" s="539"/>
      <c r="AJ51" s="539"/>
      <c r="AK51" s="539"/>
      <c r="AL51" s="539"/>
      <c r="AM51" s="539"/>
      <c r="AN51" s="534"/>
      <c r="AO51" s="555"/>
    </row>
    <row r="52" spans="1:50" s="535" customFormat="1" ht="12.75" customHeight="1">
      <c r="A52" s="539"/>
      <c r="B52" s="2409" t="s">
        <v>592</v>
      </c>
      <c r="C52" s="2409"/>
      <c r="D52" s="539"/>
      <c r="E52" s="2410" t="s">
        <v>2015</v>
      </c>
      <c r="F52" s="2411"/>
      <c r="G52" s="2411"/>
      <c r="H52" s="2411"/>
      <c r="I52" s="2411"/>
      <c r="J52" s="2411"/>
      <c r="K52" s="2411"/>
      <c r="L52" s="2411"/>
      <c r="M52" s="2411"/>
      <c r="N52" s="2411"/>
      <c r="O52" s="2411"/>
      <c r="P52" s="2411"/>
      <c r="Q52" s="2411"/>
      <c r="R52" s="2411"/>
      <c r="S52" s="2411"/>
      <c r="T52" s="2411"/>
      <c r="U52" s="2411"/>
      <c r="V52" s="2411"/>
      <c r="W52" s="2411"/>
      <c r="X52" s="2411"/>
      <c r="Y52" s="2411"/>
      <c r="Z52" s="2411"/>
      <c r="AA52" s="2411"/>
      <c r="AB52" s="2411"/>
      <c r="AC52" s="2411"/>
      <c r="AD52" s="2411"/>
      <c r="AE52" s="2411"/>
      <c r="AF52" s="2411"/>
      <c r="AG52" s="2411"/>
      <c r="AH52" s="2411"/>
      <c r="AI52" s="2411"/>
      <c r="AJ52" s="2412"/>
      <c r="AK52" s="539"/>
      <c r="AL52" s="539"/>
      <c r="AM52" s="539"/>
      <c r="AN52" s="534"/>
      <c r="AO52" s="558"/>
    </row>
    <row r="53" spans="1:50" s="535" customFormat="1" ht="12.75" customHeight="1">
      <c r="A53" s="539"/>
      <c r="D53" s="546"/>
      <c r="E53" s="2416"/>
      <c r="F53" s="2417"/>
      <c r="G53" s="2417"/>
      <c r="H53" s="2417"/>
      <c r="I53" s="2417"/>
      <c r="J53" s="2417"/>
      <c r="K53" s="2417"/>
      <c r="L53" s="2417"/>
      <c r="M53" s="2417"/>
      <c r="N53" s="2417"/>
      <c r="O53" s="2417"/>
      <c r="P53" s="2417"/>
      <c r="Q53" s="2417"/>
      <c r="R53" s="2417"/>
      <c r="S53" s="2417"/>
      <c r="T53" s="2417"/>
      <c r="U53" s="2417"/>
      <c r="V53" s="2417"/>
      <c r="W53" s="2417"/>
      <c r="X53" s="2417"/>
      <c r="Y53" s="2417"/>
      <c r="Z53" s="2417"/>
      <c r="AA53" s="2417"/>
      <c r="AB53" s="2417"/>
      <c r="AC53" s="2417"/>
      <c r="AD53" s="2417"/>
      <c r="AE53" s="2417"/>
      <c r="AF53" s="2417"/>
      <c r="AG53" s="2417"/>
      <c r="AH53" s="2417"/>
      <c r="AI53" s="2417"/>
      <c r="AJ53" s="2418"/>
      <c r="AK53" s="539"/>
      <c r="AL53" s="539"/>
      <c r="AM53" s="539"/>
      <c r="AN53" s="534"/>
      <c r="AO53" s="558"/>
    </row>
    <row r="54" spans="1:50" s="535" customFormat="1" ht="12.75" customHeight="1">
      <c r="A54" s="539"/>
      <c r="D54" s="539"/>
      <c r="E54" s="2413"/>
      <c r="F54" s="2414"/>
      <c r="G54" s="2414"/>
      <c r="H54" s="2414"/>
      <c r="I54" s="2414"/>
      <c r="J54" s="2414"/>
      <c r="K54" s="2414"/>
      <c r="L54" s="2414"/>
      <c r="M54" s="2414"/>
      <c r="N54" s="2414"/>
      <c r="O54" s="2414"/>
      <c r="P54" s="2414"/>
      <c r="Q54" s="2414"/>
      <c r="R54" s="2414"/>
      <c r="S54" s="2414"/>
      <c r="T54" s="2414"/>
      <c r="U54" s="2414"/>
      <c r="V54" s="2414"/>
      <c r="W54" s="2414"/>
      <c r="X54" s="2414"/>
      <c r="Y54" s="2414"/>
      <c r="Z54" s="2414"/>
      <c r="AA54" s="2414"/>
      <c r="AB54" s="2414"/>
      <c r="AC54" s="2414"/>
      <c r="AD54" s="2414"/>
      <c r="AE54" s="2414"/>
      <c r="AF54" s="2414"/>
      <c r="AG54" s="2414"/>
      <c r="AH54" s="2414"/>
      <c r="AI54" s="2414"/>
      <c r="AJ54" s="2415"/>
      <c r="AK54" s="539"/>
      <c r="AL54" s="539"/>
      <c r="AM54" s="539"/>
      <c r="AN54" s="534"/>
    </row>
    <row r="55" spans="1:50" s="535" customFormat="1" ht="12.75" customHeight="1">
      <c r="A55" s="539"/>
      <c r="B55" s="539"/>
      <c r="C55" s="539"/>
      <c r="D55" s="546"/>
      <c r="E55" s="557"/>
      <c r="F55" s="555"/>
      <c r="G55" s="555"/>
      <c r="H55" s="539"/>
      <c r="I55" s="539"/>
      <c r="J55" s="539"/>
      <c r="K55" s="539"/>
      <c r="L55" s="539"/>
      <c r="M55" s="539"/>
      <c r="N55" s="539"/>
      <c r="O55" s="539"/>
      <c r="P55" s="539"/>
      <c r="Q55" s="539"/>
      <c r="R55" s="539"/>
      <c r="S55" s="539"/>
      <c r="T55" s="539"/>
      <c r="U55" s="539"/>
      <c r="V55" s="539"/>
      <c r="W55" s="539"/>
      <c r="X55" s="539"/>
      <c r="Y55" s="539"/>
      <c r="Z55" s="539"/>
      <c r="AA55" s="539"/>
      <c r="AB55" s="539"/>
      <c r="AC55" s="539"/>
      <c r="AD55" s="539"/>
      <c r="AE55" s="539"/>
      <c r="AF55" s="539"/>
      <c r="AG55" s="539"/>
      <c r="AH55" s="539"/>
      <c r="AI55" s="539"/>
      <c r="AJ55" s="539"/>
      <c r="AK55" s="539"/>
      <c r="AL55" s="539"/>
      <c r="AM55" s="539"/>
      <c r="AN55" s="534"/>
    </row>
    <row r="56" spans="1:50" s="535" customFormat="1" ht="12.75" customHeight="1">
      <c r="A56" s="539"/>
      <c r="B56" s="2409" t="s">
        <v>592</v>
      </c>
      <c r="C56" s="2409"/>
      <c r="D56" s="539"/>
      <c r="E56" s="2430" t="s">
        <v>2016</v>
      </c>
      <c r="F56" s="2431"/>
      <c r="G56" s="2431"/>
      <c r="H56" s="2431"/>
      <c r="I56" s="2431"/>
      <c r="J56" s="2431"/>
      <c r="K56" s="2431"/>
      <c r="L56" s="2431"/>
      <c r="M56" s="2431"/>
      <c r="N56" s="2431"/>
      <c r="O56" s="2431"/>
      <c r="P56" s="2431"/>
      <c r="Q56" s="2431"/>
      <c r="R56" s="2431"/>
      <c r="S56" s="2431"/>
      <c r="T56" s="2431"/>
      <c r="U56" s="2431"/>
      <c r="V56" s="2431"/>
      <c r="W56" s="2431"/>
      <c r="X56" s="2431"/>
      <c r="Y56" s="2431"/>
      <c r="Z56" s="2431"/>
      <c r="AA56" s="2431"/>
      <c r="AB56" s="2431"/>
      <c r="AC56" s="2431"/>
      <c r="AD56" s="2431"/>
      <c r="AE56" s="2431"/>
      <c r="AF56" s="2431"/>
      <c r="AG56" s="2431"/>
      <c r="AH56" s="2431"/>
      <c r="AI56" s="2431"/>
      <c r="AJ56" s="2432"/>
      <c r="AK56" s="539"/>
      <c r="AL56" s="539"/>
      <c r="AM56" s="539"/>
      <c r="AN56" s="534"/>
    </row>
    <row r="57" spans="1:50" s="535" customFormat="1" ht="12.75" customHeight="1">
      <c r="A57" s="539"/>
      <c r="B57" s="539"/>
      <c r="C57" s="539"/>
      <c r="D57" s="546"/>
      <c r="E57" s="559"/>
      <c r="F57" s="555"/>
      <c r="G57" s="555"/>
      <c r="H57" s="539"/>
      <c r="I57" s="539"/>
      <c r="J57" s="539"/>
      <c r="K57" s="539"/>
      <c r="L57" s="539"/>
      <c r="M57" s="539"/>
      <c r="N57" s="539"/>
      <c r="O57" s="539"/>
      <c r="P57" s="539"/>
      <c r="Q57" s="539"/>
      <c r="R57" s="539"/>
      <c r="S57" s="539"/>
      <c r="T57" s="539"/>
      <c r="U57" s="539"/>
      <c r="V57" s="539"/>
      <c r="W57" s="539"/>
      <c r="X57" s="539"/>
      <c r="Y57" s="539"/>
      <c r="Z57" s="539"/>
      <c r="AA57" s="539"/>
      <c r="AB57" s="539"/>
      <c r="AC57" s="539"/>
      <c r="AD57" s="539"/>
      <c r="AE57" s="539"/>
      <c r="AF57" s="539"/>
      <c r="AG57" s="539"/>
      <c r="AH57" s="539"/>
      <c r="AI57" s="539"/>
      <c r="AJ57" s="539"/>
      <c r="AK57" s="539"/>
      <c r="AL57" s="539"/>
      <c r="AM57" s="539"/>
      <c r="AN57" s="534"/>
    </row>
    <row r="58" spans="1:50" s="535" customFormat="1" ht="12.75" customHeight="1">
      <c r="A58" s="539"/>
      <c r="B58" s="2409" t="s">
        <v>592</v>
      </c>
      <c r="C58" s="2409"/>
      <c r="D58" s="539"/>
      <c r="E58" s="2410" t="s">
        <v>2017</v>
      </c>
      <c r="F58" s="2411"/>
      <c r="G58" s="2411"/>
      <c r="H58" s="2411"/>
      <c r="I58" s="2411"/>
      <c r="J58" s="2411"/>
      <c r="K58" s="2411"/>
      <c r="L58" s="2411"/>
      <c r="M58" s="2411"/>
      <c r="N58" s="2411"/>
      <c r="O58" s="2411"/>
      <c r="P58" s="2411"/>
      <c r="Q58" s="2411"/>
      <c r="R58" s="2411"/>
      <c r="S58" s="2411"/>
      <c r="T58" s="2411"/>
      <c r="U58" s="2411"/>
      <c r="V58" s="2411"/>
      <c r="W58" s="2411"/>
      <c r="X58" s="2411"/>
      <c r="Y58" s="2411"/>
      <c r="Z58" s="2411"/>
      <c r="AA58" s="2411"/>
      <c r="AB58" s="2411"/>
      <c r="AC58" s="2411"/>
      <c r="AD58" s="2411"/>
      <c r="AE58" s="2411"/>
      <c r="AF58" s="2411"/>
      <c r="AG58" s="2411"/>
      <c r="AH58" s="2411"/>
      <c r="AI58" s="2411"/>
      <c r="AJ58" s="2412"/>
      <c r="AK58" s="539"/>
      <c r="AL58" s="539"/>
      <c r="AM58" s="539"/>
      <c r="AN58" s="534"/>
    </row>
    <row r="59" spans="1:50" s="535" customFormat="1" ht="12.75" customHeight="1">
      <c r="A59" s="539"/>
      <c r="B59" s="546"/>
      <c r="C59" s="546"/>
      <c r="D59" s="546"/>
      <c r="E59" s="2413"/>
      <c r="F59" s="2414"/>
      <c r="G59" s="2414"/>
      <c r="H59" s="2414"/>
      <c r="I59" s="2414"/>
      <c r="J59" s="2414"/>
      <c r="K59" s="2414"/>
      <c r="L59" s="2414"/>
      <c r="M59" s="2414"/>
      <c r="N59" s="2414"/>
      <c r="O59" s="2414"/>
      <c r="P59" s="2414"/>
      <c r="Q59" s="2414"/>
      <c r="R59" s="2414"/>
      <c r="S59" s="2414"/>
      <c r="T59" s="2414"/>
      <c r="U59" s="2414"/>
      <c r="V59" s="2414"/>
      <c r="W59" s="2414"/>
      <c r="X59" s="2414"/>
      <c r="Y59" s="2414"/>
      <c r="Z59" s="2414"/>
      <c r="AA59" s="2414"/>
      <c r="AB59" s="2414"/>
      <c r="AC59" s="2414"/>
      <c r="AD59" s="2414"/>
      <c r="AE59" s="2414"/>
      <c r="AF59" s="2414"/>
      <c r="AG59" s="2414"/>
      <c r="AH59" s="2414"/>
      <c r="AI59" s="2414"/>
      <c r="AJ59" s="2415"/>
      <c r="AK59" s="539"/>
      <c r="AL59" s="539"/>
      <c r="AM59" s="539"/>
      <c r="AN59" s="534"/>
      <c r="AX59" s="538"/>
    </row>
    <row r="60" spans="1:50" s="535" customFormat="1" ht="12.75" customHeight="1">
      <c r="A60" s="539"/>
      <c r="B60" s="546"/>
      <c r="C60" s="546"/>
      <c r="D60" s="546"/>
      <c r="E60" s="559"/>
      <c r="F60" s="539"/>
      <c r="G60" s="539"/>
      <c r="H60" s="539"/>
      <c r="I60" s="539"/>
      <c r="J60" s="539"/>
      <c r="K60" s="539"/>
      <c r="L60" s="539"/>
      <c r="M60" s="539"/>
      <c r="N60" s="539"/>
      <c r="O60" s="539"/>
      <c r="P60" s="539"/>
      <c r="Q60" s="539"/>
      <c r="R60" s="539"/>
      <c r="S60" s="539"/>
      <c r="T60" s="539"/>
      <c r="U60" s="539"/>
      <c r="V60" s="539"/>
      <c r="W60" s="539"/>
      <c r="X60" s="539"/>
      <c r="Y60" s="539"/>
      <c r="Z60" s="539"/>
      <c r="AA60" s="539"/>
      <c r="AB60" s="539"/>
      <c r="AC60" s="539"/>
      <c r="AD60" s="539"/>
      <c r="AE60" s="539"/>
      <c r="AF60" s="539"/>
      <c r="AG60" s="539"/>
      <c r="AH60" s="539"/>
      <c r="AI60" s="539"/>
      <c r="AJ60" s="539"/>
      <c r="AK60" s="539"/>
      <c r="AL60" s="539"/>
      <c r="AM60" s="539"/>
      <c r="AN60" s="534"/>
      <c r="AX60" s="538"/>
    </row>
    <row r="61" spans="1:50" s="535" customFormat="1" ht="12.75" customHeight="1">
      <c r="A61" s="539"/>
      <c r="B61" s="539"/>
      <c r="C61" s="539"/>
      <c r="D61" s="539"/>
      <c r="E61" s="539"/>
      <c r="F61" s="539"/>
      <c r="G61" s="539"/>
      <c r="H61" s="539"/>
      <c r="I61" s="539"/>
      <c r="J61" s="539"/>
      <c r="K61" s="539"/>
      <c r="L61" s="539"/>
      <c r="M61" s="539"/>
      <c r="N61" s="539"/>
      <c r="O61" s="539"/>
      <c r="P61" s="539"/>
      <c r="Q61" s="539"/>
      <c r="R61" s="539"/>
      <c r="S61" s="539"/>
      <c r="T61" s="539"/>
      <c r="U61" s="539"/>
      <c r="V61" s="539"/>
      <c r="W61" s="539"/>
      <c r="X61" s="539"/>
      <c r="Y61" s="539"/>
      <c r="Z61" s="539"/>
      <c r="AA61" s="539"/>
      <c r="AB61" s="539"/>
      <c r="AC61" s="539"/>
      <c r="AD61" s="539"/>
      <c r="AE61" s="539"/>
      <c r="AF61" s="539"/>
      <c r="AG61" s="539"/>
      <c r="AH61" s="539"/>
      <c r="AI61" s="539"/>
      <c r="AJ61" s="539"/>
      <c r="AK61" s="539"/>
      <c r="AL61" s="539"/>
      <c r="AM61" s="539"/>
      <c r="AN61" s="534"/>
    </row>
    <row r="62" spans="1:50" s="535" customFormat="1" ht="12.75" customHeight="1">
      <c r="A62" s="560"/>
      <c r="B62" s="561"/>
      <c r="C62" s="561"/>
      <c r="D62" s="561"/>
      <c r="E62" s="561"/>
      <c r="F62" s="561"/>
      <c r="G62" s="562"/>
      <c r="H62" s="563"/>
      <c r="I62" s="563"/>
      <c r="J62" s="563"/>
      <c r="K62" s="563"/>
      <c r="L62" s="563"/>
      <c r="M62" s="563"/>
      <c r="N62" s="563"/>
      <c r="O62" s="563"/>
      <c r="P62" s="563"/>
      <c r="Q62" s="563"/>
      <c r="R62" s="563"/>
      <c r="S62" s="563"/>
      <c r="T62" s="563"/>
      <c r="U62" s="563"/>
      <c r="V62" s="563"/>
      <c r="W62" s="563"/>
      <c r="X62" s="563"/>
      <c r="Y62" s="563"/>
      <c r="Z62" s="563"/>
      <c r="AA62" s="563"/>
      <c r="AB62" s="563"/>
      <c r="AC62" s="563"/>
      <c r="AD62" s="563"/>
      <c r="AE62" s="563"/>
      <c r="AF62" s="563"/>
      <c r="AG62" s="563"/>
      <c r="AH62" s="563"/>
      <c r="AI62" s="564"/>
      <c r="AJ62" s="564" t="s">
        <v>1312</v>
      </c>
      <c r="AK62" s="2442">
        <f>AO39</f>
        <v>0</v>
      </c>
      <c r="AL62" s="2443"/>
      <c r="AM62" s="2444"/>
      <c r="AN62" s="534"/>
    </row>
    <row r="63" spans="1:50" s="535" customFormat="1" ht="12.75" customHeight="1" thickBot="1">
      <c r="A63" s="565"/>
      <c r="B63" s="566"/>
      <c r="C63" s="567"/>
      <c r="D63" s="567"/>
      <c r="E63" s="567"/>
      <c r="F63" s="567"/>
      <c r="G63" s="567"/>
      <c r="H63" s="567"/>
      <c r="I63" s="567"/>
      <c r="J63" s="567"/>
      <c r="K63" s="567"/>
      <c r="L63" s="567"/>
      <c r="M63" s="567"/>
      <c r="N63" s="567"/>
      <c r="O63" s="567"/>
      <c r="P63" s="567"/>
      <c r="Q63" s="567"/>
      <c r="R63" s="567"/>
      <c r="S63" s="567"/>
      <c r="T63" s="567"/>
      <c r="U63" s="567"/>
      <c r="V63" s="567"/>
      <c r="W63" s="567"/>
      <c r="X63" s="567"/>
      <c r="Y63" s="567"/>
      <c r="Z63" s="567"/>
      <c r="AA63" s="567"/>
      <c r="AB63" s="567"/>
      <c r="AC63" s="567"/>
      <c r="AD63" s="567"/>
      <c r="AE63" s="567"/>
      <c r="AF63" s="567"/>
      <c r="AG63" s="567"/>
      <c r="AH63" s="567"/>
      <c r="AI63" s="567"/>
      <c r="AJ63" s="567"/>
      <c r="AK63" s="567"/>
      <c r="AL63" s="567"/>
      <c r="AM63" s="568"/>
      <c r="AN63" s="534"/>
    </row>
    <row r="64" spans="1:50" s="535" customFormat="1" ht="12.75" customHeight="1" thickTop="1">
      <c r="A64" s="569"/>
      <c r="B64" s="570"/>
      <c r="C64" s="571"/>
      <c r="D64" s="571"/>
      <c r="E64" s="571"/>
      <c r="F64" s="571"/>
      <c r="G64" s="571"/>
      <c r="H64" s="571"/>
      <c r="I64" s="572"/>
      <c r="J64" s="572"/>
      <c r="K64" s="572"/>
      <c r="L64" s="572"/>
      <c r="M64" s="572"/>
      <c r="N64" s="572"/>
      <c r="O64" s="572"/>
      <c r="P64" s="572"/>
      <c r="Q64" s="572"/>
      <c r="R64" s="569"/>
      <c r="S64" s="538"/>
      <c r="T64" s="538"/>
      <c r="U64" s="538"/>
      <c r="V64" s="538"/>
      <c r="W64" s="538"/>
      <c r="X64" s="538"/>
      <c r="Y64" s="538"/>
      <c r="Z64" s="538"/>
      <c r="AA64" s="538"/>
      <c r="AB64" s="538"/>
      <c r="AC64" s="538"/>
      <c r="AD64" s="538"/>
      <c r="AE64" s="538"/>
      <c r="AF64" s="569"/>
      <c r="AG64" s="538"/>
      <c r="AH64" s="538"/>
      <c r="AI64" s="538"/>
      <c r="AJ64" s="538"/>
      <c r="AK64" s="549"/>
      <c r="AL64" s="549"/>
      <c r="AM64" s="549"/>
      <c r="AN64" s="534"/>
    </row>
    <row r="65" spans="1:42" s="535" customFormat="1" ht="12.75" customHeight="1">
      <c r="A65" s="537" t="s">
        <v>1313</v>
      </c>
      <c r="B65" s="538" t="s">
        <v>1314</v>
      </c>
      <c r="C65" s="538"/>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538"/>
      <c r="AE65" s="2419" t="s">
        <v>1315</v>
      </c>
      <c r="AF65" s="2419"/>
      <c r="AG65" s="2419"/>
      <c r="AH65" s="2419"/>
      <c r="AI65" s="2419"/>
      <c r="AJ65" s="2419"/>
      <c r="AK65" s="2419"/>
      <c r="AL65" s="539"/>
      <c r="AM65" s="539"/>
      <c r="AN65" s="534"/>
    </row>
    <row r="66" spans="1:42" s="535" customFormat="1" ht="12.75" customHeight="1">
      <c r="A66" s="537"/>
      <c r="B66" s="538" t="s">
        <v>1729</v>
      </c>
      <c r="C66" s="538"/>
      <c r="D66" s="538"/>
      <c r="E66" s="538"/>
      <c r="F66" s="538"/>
      <c r="G66" s="538"/>
      <c r="H66" s="538"/>
      <c r="I66" s="538"/>
      <c r="J66" s="538"/>
      <c r="K66" s="538"/>
      <c r="L66" s="538"/>
      <c r="M66" s="538"/>
      <c r="N66" s="538"/>
      <c r="O66" s="538"/>
      <c r="P66" s="538"/>
      <c r="Q66" s="538"/>
      <c r="R66" s="538"/>
      <c r="S66" s="538"/>
      <c r="T66" s="538"/>
      <c r="U66" s="538"/>
      <c r="V66" s="538"/>
      <c r="W66" s="538"/>
      <c r="X66" s="538"/>
      <c r="Y66" s="538"/>
      <c r="Z66" s="538"/>
      <c r="AA66" s="538"/>
      <c r="AB66" s="538"/>
      <c r="AC66" s="538"/>
      <c r="AD66" s="538"/>
      <c r="AE66" s="542"/>
      <c r="AF66" s="542"/>
      <c r="AG66" s="542"/>
      <c r="AH66" s="542"/>
      <c r="AI66" s="542"/>
      <c r="AJ66" s="542"/>
      <c r="AK66" s="542"/>
      <c r="AL66" s="539"/>
      <c r="AM66" s="539"/>
      <c r="AN66" s="534"/>
    </row>
    <row r="67" spans="1:42" s="535" customFormat="1" ht="12.75" customHeight="1">
      <c r="A67" s="537"/>
      <c r="B67" s="538"/>
      <c r="C67" s="538"/>
      <c r="D67" s="538"/>
      <c r="E67" s="538"/>
      <c r="F67" s="538"/>
      <c r="G67" s="538"/>
      <c r="H67" s="538"/>
      <c r="I67" s="538"/>
      <c r="J67" s="538"/>
      <c r="K67" s="538"/>
      <c r="L67" s="538"/>
      <c r="M67" s="538"/>
      <c r="N67" s="538"/>
      <c r="O67" s="538"/>
      <c r="P67" s="538"/>
      <c r="Q67" s="538"/>
      <c r="R67" s="538"/>
      <c r="S67" s="538"/>
      <c r="T67" s="538"/>
      <c r="U67" s="538"/>
      <c r="V67" s="538"/>
      <c r="W67" s="538"/>
      <c r="X67" s="538"/>
      <c r="Y67" s="538"/>
      <c r="Z67" s="538"/>
      <c r="AA67" s="538"/>
      <c r="AB67" s="538"/>
      <c r="AC67" s="538"/>
      <c r="AD67" s="538"/>
      <c r="AE67" s="542"/>
      <c r="AF67" s="542"/>
      <c r="AG67" s="542"/>
      <c r="AH67" s="542"/>
      <c r="AI67" s="542"/>
      <c r="AJ67" s="542"/>
      <c r="AK67" s="542"/>
      <c r="AL67" s="539"/>
      <c r="AM67" s="539"/>
      <c r="AN67" s="534"/>
    </row>
    <row r="68" spans="1:42" s="535" customFormat="1" ht="12.75" customHeight="1">
      <c r="A68" s="537"/>
      <c r="B68" s="2409" t="s">
        <v>592</v>
      </c>
      <c r="C68" s="2409"/>
      <c r="D68" s="546" t="s">
        <v>1316</v>
      </c>
      <c r="E68" s="2420" t="s">
        <v>2018</v>
      </c>
      <c r="F68" s="2421"/>
      <c r="G68" s="2421"/>
      <c r="H68" s="2421"/>
      <c r="I68" s="2421"/>
      <c r="J68" s="2421"/>
      <c r="K68" s="2421"/>
      <c r="L68" s="2421"/>
      <c r="M68" s="2421"/>
      <c r="N68" s="2421"/>
      <c r="O68" s="2421"/>
      <c r="P68" s="2421"/>
      <c r="Q68" s="2421"/>
      <c r="R68" s="2421"/>
      <c r="S68" s="2421"/>
      <c r="T68" s="2421"/>
      <c r="U68" s="2421"/>
      <c r="V68" s="2421"/>
      <c r="W68" s="2421"/>
      <c r="X68" s="2421"/>
      <c r="Y68" s="2421"/>
      <c r="Z68" s="2421"/>
      <c r="AA68" s="2421"/>
      <c r="AB68" s="2421"/>
      <c r="AC68" s="2421"/>
      <c r="AD68" s="2421"/>
      <c r="AE68" s="2421"/>
      <c r="AF68" s="2421"/>
      <c r="AG68" s="2421"/>
      <c r="AH68" s="2421"/>
      <c r="AI68" s="2421"/>
      <c r="AJ68" s="2422"/>
      <c r="AK68" s="542"/>
      <c r="AL68" s="539"/>
      <c r="AM68" s="539"/>
      <c r="AN68" s="534"/>
      <c r="AO68" s="549">
        <f>IF($B68="yes",10,0)</f>
        <v>0</v>
      </c>
    </row>
    <row r="69" spans="1:42" s="535" customFormat="1" ht="12.75" customHeight="1">
      <c r="A69" s="537"/>
      <c r="B69" s="539"/>
      <c r="C69" s="539"/>
      <c r="D69" s="550"/>
      <c r="E69" s="2423"/>
      <c r="F69" s="2424"/>
      <c r="G69" s="2424"/>
      <c r="H69" s="2424"/>
      <c r="I69" s="2424"/>
      <c r="J69" s="2424"/>
      <c r="K69" s="2424"/>
      <c r="L69" s="2424"/>
      <c r="M69" s="2424"/>
      <c r="N69" s="2424"/>
      <c r="O69" s="2424"/>
      <c r="P69" s="2424"/>
      <c r="Q69" s="2424"/>
      <c r="R69" s="2424"/>
      <c r="S69" s="2424"/>
      <c r="T69" s="2424"/>
      <c r="U69" s="2424"/>
      <c r="V69" s="2424"/>
      <c r="W69" s="2424"/>
      <c r="X69" s="2424"/>
      <c r="Y69" s="2424"/>
      <c r="Z69" s="2424"/>
      <c r="AA69" s="2424"/>
      <c r="AB69" s="2424"/>
      <c r="AC69" s="2424"/>
      <c r="AD69" s="2424"/>
      <c r="AE69" s="2424"/>
      <c r="AF69" s="2424"/>
      <c r="AG69" s="2424"/>
      <c r="AH69" s="2424"/>
      <c r="AI69" s="2424"/>
      <c r="AJ69" s="2425"/>
      <c r="AK69" s="542"/>
      <c r="AL69" s="539"/>
      <c r="AM69" s="539"/>
      <c r="AN69" s="534"/>
      <c r="AO69" s="549">
        <f>IF($B74="yes",10,0)</f>
        <v>0</v>
      </c>
    </row>
    <row r="70" spans="1:42" s="535" customFormat="1" ht="12.75" customHeight="1">
      <c r="A70" s="537"/>
      <c r="B70" s="539"/>
      <c r="C70" s="539"/>
      <c r="D70" s="550"/>
      <c r="E70" s="2423"/>
      <c r="F70" s="2424"/>
      <c r="G70" s="2424"/>
      <c r="H70" s="2424"/>
      <c r="I70" s="2424"/>
      <c r="J70" s="2424"/>
      <c r="K70" s="2424"/>
      <c r="L70" s="2424"/>
      <c r="M70" s="2424"/>
      <c r="N70" s="2424"/>
      <c r="O70" s="2424"/>
      <c r="P70" s="2424"/>
      <c r="Q70" s="2424"/>
      <c r="R70" s="2424"/>
      <c r="S70" s="2424"/>
      <c r="T70" s="2424"/>
      <c r="U70" s="2424"/>
      <c r="V70" s="2424"/>
      <c r="W70" s="2424"/>
      <c r="X70" s="2424"/>
      <c r="Y70" s="2424"/>
      <c r="Z70" s="2424"/>
      <c r="AA70" s="2424"/>
      <c r="AB70" s="2424"/>
      <c r="AC70" s="2424"/>
      <c r="AD70" s="2424"/>
      <c r="AE70" s="2424"/>
      <c r="AF70" s="2424"/>
      <c r="AG70" s="2424"/>
      <c r="AH70" s="2424"/>
      <c r="AI70" s="2424"/>
      <c r="AJ70" s="2425"/>
      <c r="AK70" s="542"/>
      <c r="AL70" s="539"/>
      <c r="AM70" s="539"/>
      <c r="AN70" s="534"/>
      <c r="AO70" s="549">
        <f>IF($B81="yes",10,0)</f>
        <v>10</v>
      </c>
    </row>
    <row r="71" spans="1:42" s="535" customFormat="1" ht="12.75" customHeight="1">
      <c r="A71" s="537"/>
      <c r="B71" s="539"/>
      <c r="C71" s="539"/>
      <c r="D71" s="550"/>
      <c r="E71" s="2423"/>
      <c r="F71" s="2424"/>
      <c r="G71" s="2424"/>
      <c r="H71" s="2424"/>
      <c r="I71" s="2424"/>
      <c r="J71" s="2424"/>
      <c r="K71" s="2424"/>
      <c r="L71" s="2424"/>
      <c r="M71" s="2424"/>
      <c r="N71" s="2424"/>
      <c r="O71" s="2424"/>
      <c r="P71" s="2424"/>
      <c r="Q71" s="2424"/>
      <c r="R71" s="2424"/>
      <c r="S71" s="2424"/>
      <c r="T71" s="2424"/>
      <c r="U71" s="2424"/>
      <c r="V71" s="2424"/>
      <c r="W71" s="2424"/>
      <c r="X71" s="2424"/>
      <c r="Y71" s="2424"/>
      <c r="Z71" s="2424"/>
      <c r="AA71" s="2424"/>
      <c r="AB71" s="2424"/>
      <c r="AC71" s="2424"/>
      <c r="AD71" s="2424"/>
      <c r="AE71" s="2424"/>
      <c r="AF71" s="2424"/>
      <c r="AG71" s="2424"/>
      <c r="AH71" s="2424"/>
      <c r="AI71" s="2424"/>
      <c r="AJ71" s="2425"/>
      <c r="AK71" s="542"/>
      <c r="AL71" s="539"/>
      <c r="AM71" s="539"/>
      <c r="AN71" s="534"/>
      <c r="AO71" s="535">
        <f>IF(SUM(AO68:AO70)&gt;10,10,(SUM(AO68:AO70)))</f>
        <v>10</v>
      </c>
      <c r="AP71" s="573" t="s">
        <v>1317</v>
      </c>
    </row>
    <row r="72" spans="1:42" s="535" customFormat="1" ht="12.75" customHeight="1">
      <c r="A72" s="537"/>
      <c r="B72" s="539"/>
      <c r="C72" s="539"/>
      <c r="D72" s="550"/>
      <c r="E72" s="2426"/>
      <c r="F72" s="2427"/>
      <c r="G72" s="2427"/>
      <c r="H72" s="2427"/>
      <c r="I72" s="2427"/>
      <c r="J72" s="2427"/>
      <c r="K72" s="2427"/>
      <c r="L72" s="2427"/>
      <c r="M72" s="2427"/>
      <c r="N72" s="2427"/>
      <c r="O72" s="2427"/>
      <c r="P72" s="2427"/>
      <c r="Q72" s="2427"/>
      <c r="R72" s="2427"/>
      <c r="S72" s="2427"/>
      <c r="T72" s="2427"/>
      <c r="U72" s="2427"/>
      <c r="V72" s="2427"/>
      <c r="W72" s="2427"/>
      <c r="X72" s="2427"/>
      <c r="Y72" s="2427"/>
      <c r="Z72" s="2427"/>
      <c r="AA72" s="2427"/>
      <c r="AB72" s="2427"/>
      <c r="AC72" s="2427"/>
      <c r="AD72" s="2427"/>
      <c r="AE72" s="2427"/>
      <c r="AF72" s="2427"/>
      <c r="AG72" s="2427"/>
      <c r="AH72" s="2427"/>
      <c r="AI72" s="2427"/>
      <c r="AJ72" s="2428"/>
      <c r="AK72" s="542"/>
      <c r="AL72" s="539"/>
      <c r="AM72" s="539"/>
      <c r="AN72" s="534"/>
    </row>
    <row r="73" spans="1:42" s="535" customFormat="1" ht="12.75" customHeight="1">
      <c r="A73" s="537"/>
      <c r="B73" s="539"/>
      <c r="C73" s="539"/>
      <c r="E73" s="539"/>
      <c r="F73" s="539"/>
      <c r="G73" s="539"/>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42"/>
      <c r="AL73" s="539"/>
      <c r="AM73" s="539"/>
      <c r="AN73" s="534"/>
    </row>
    <row r="74" spans="1:42" s="535" customFormat="1" ht="12.75" customHeight="1">
      <c r="A74" s="537"/>
      <c r="B74" s="2409" t="s">
        <v>592</v>
      </c>
      <c r="C74" s="2409"/>
      <c r="D74" s="546" t="s">
        <v>1318</v>
      </c>
      <c r="E74" s="970" t="s">
        <v>1725</v>
      </c>
      <c r="F74" s="971"/>
      <c r="G74" s="971"/>
      <c r="H74" s="971"/>
      <c r="I74" s="971"/>
      <c r="J74" s="971"/>
      <c r="K74" s="971"/>
      <c r="L74" s="971"/>
      <c r="M74" s="971"/>
      <c r="N74" s="971"/>
      <c r="O74" s="971"/>
      <c r="P74" s="971"/>
      <c r="Q74" s="971"/>
      <c r="R74" s="971"/>
      <c r="S74" s="971"/>
      <c r="T74" s="971"/>
      <c r="U74" s="971"/>
      <c r="V74" s="971"/>
      <c r="W74" s="971"/>
      <c r="X74" s="971"/>
      <c r="Y74" s="971"/>
      <c r="Z74" s="971"/>
      <c r="AA74" s="971"/>
      <c r="AB74" s="971"/>
      <c r="AC74" s="971"/>
      <c r="AD74" s="971"/>
      <c r="AE74" s="971"/>
      <c r="AF74" s="971"/>
      <c r="AG74" s="971"/>
      <c r="AH74" s="971"/>
      <c r="AI74" s="971"/>
      <c r="AJ74" s="972"/>
      <c r="AK74" s="542"/>
      <c r="AL74" s="539"/>
      <c r="AM74" s="539"/>
      <c r="AN74" s="534"/>
    </row>
    <row r="75" spans="1:42" s="535" customFormat="1" ht="12.75" customHeight="1">
      <c r="A75" s="537"/>
      <c r="B75" s="539"/>
      <c r="C75" s="539"/>
      <c r="D75" s="549"/>
      <c r="E75" s="2429" t="s">
        <v>546</v>
      </c>
      <c r="F75" s="2409"/>
      <c r="G75" s="574"/>
      <c r="H75" s="557" t="s">
        <v>1319</v>
      </c>
      <c r="I75" s="907"/>
      <c r="J75" s="574"/>
      <c r="K75" s="574"/>
      <c r="L75" s="574"/>
      <c r="M75" s="574"/>
      <c r="N75" s="574"/>
      <c r="O75" s="574"/>
      <c r="P75" s="574"/>
      <c r="Q75" s="574"/>
      <c r="R75" s="574"/>
      <c r="S75" s="574"/>
      <c r="T75" s="574"/>
      <c r="U75" s="574"/>
      <c r="V75" s="574"/>
      <c r="W75" s="574"/>
      <c r="X75" s="574"/>
      <c r="Y75" s="574"/>
      <c r="Z75" s="574"/>
      <c r="AA75" s="574"/>
      <c r="AB75" s="574"/>
      <c r="AC75" s="574"/>
      <c r="AD75" s="574"/>
      <c r="AE75" s="574"/>
      <c r="AF75" s="574"/>
      <c r="AG75" s="574"/>
      <c r="AH75" s="574"/>
      <c r="AI75" s="574"/>
      <c r="AJ75" s="973"/>
      <c r="AK75" s="542"/>
      <c r="AL75" s="539"/>
      <c r="AM75" s="539"/>
      <c r="AN75" s="534"/>
    </row>
    <row r="76" spans="1:42" s="535" customFormat="1" ht="12.75" customHeight="1">
      <c r="A76" s="537"/>
      <c r="B76" s="539"/>
      <c r="C76" s="539"/>
      <c r="D76" s="549"/>
      <c r="E76" s="2407" t="s">
        <v>592</v>
      </c>
      <c r="F76" s="2408"/>
      <c r="G76" s="574"/>
      <c r="H76" s="557" t="s">
        <v>1320</v>
      </c>
      <c r="I76" s="574"/>
      <c r="J76" s="574"/>
      <c r="K76" s="574"/>
      <c r="L76" s="574"/>
      <c r="M76" s="574"/>
      <c r="N76" s="574"/>
      <c r="O76" s="574"/>
      <c r="P76" s="574"/>
      <c r="Q76" s="574"/>
      <c r="R76" s="574"/>
      <c r="S76" s="574"/>
      <c r="T76" s="574"/>
      <c r="U76" s="574"/>
      <c r="V76" s="574"/>
      <c r="W76" s="574"/>
      <c r="X76" s="574"/>
      <c r="Y76" s="574"/>
      <c r="Z76" s="574"/>
      <c r="AA76" s="574"/>
      <c r="AB76" s="574"/>
      <c r="AC76" s="574"/>
      <c r="AD76" s="574"/>
      <c r="AE76" s="574"/>
      <c r="AF76" s="574"/>
      <c r="AG76" s="574"/>
      <c r="AH76" s="574"/>
      <c r="AI76" s="574"/>
      <c r="AJ76" s="973"/>
      <c r="AK76" s="542"/>
      <c r="AL76" s="539"/>
      <c r="AM76" s="539"/>
      <c r="AN76" s="534"/>
    </row>
    <row r="77" spans="1:42" s="535" customFormat="1" ht="12.75" customHeight="1">
      <c r="A77" s="537"/>
      <c r="B77" s="539"/>
      <c r="C77" s="539"/>
      <c r="D77" s="549"/>
      <c r="E77" s="2407" t="s">
        <v>592</v>
      </c>
      <c r="F77" s="2408"/>
      <c r="G77" s="574"/>
      <c r="H77" s="557" t="s">
        <v>1740</v>
      </c>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973"/>
      <c r="AK77" s="542"/>
      <c r="AL77" s="539"/>
      <c r="AM77" s="539"/>
      <c r="AN77" s="534"/>
    </row>
    <row r="78" spans="1:42" s="535" customFormat="1" ht="12.75" customHeight="1">
      <c r="A78" s="537"/>
      <c r="B78" s="539"/>
      <c r="C78" s="539"/>
      <c r="D78" s="549"/>
      <c r="E78" s="655"/>
      <c r="F78" s="574"/>
      <c r="G78" s="574"/>
      <c r="H78" s="574"/>
      <c r="I78" s="574"/>
      <c r="J78" s="574"/>
      <c r="K78" s="574"/>
      <c r="L78" s="574"/>
      <c r="M78" s="574"/>
      <c r="N78" s="574"/>
      <c r="O78" s="574"/>
      <c r="P78" s="574"/>
      <c r="Q78" s="574"/>
      <c r="R78" s="574"/>
      <c r="S78" s="574"/>
      <c r="T78" s="574"/>
      <c r="U78" s="574"/>
      <c r="V78" s="574"/>
      <c r="W78" s="574"/>
      <c r="X78" s="574"/>
      <c r="Y78" s="574"/>
      <c r="Z78" s="574"/>
      <c r="AA78" s="574"/>
      <c r="AB78" s="574"/>
      <c r="AC78" s="574"/>
      <c r="AD78" s="574"/>
      <c r="AE78" s="574"/>
      <c r="AF78" s="574"/>
      <c r="AG78" s="574"/>
      <c r="AH78" s="574"/>
      <c r="AI78" s="574"/>
      <c r="AJ78" s="973"/>
      <c r="AK78" s="542"/>
      <c r="AL78" s="539"/>
      <c r="AM78" s="539"/>
      <c r="AN78" s="534"/>
    </row>
    <row r="79" spans="1:42" s="535" customFormat="1" ht="12.75" customHeight="1">
      <c r="A79" s="537"/>
      <c r="B79" s="539"/>
      <c r="C79" s="539"/>
      <c r="D79" s="549"/>
      <c r="E79" s="2429" t="s">
        <v>592</v>
      </c>
      <c r="F79" s="2409"/>
      <c r="G79" s="905"/>
      <c r="H79" s="975" t="s">
        <v>1739</v>
      </c>
      <c r="I79" s="905"/>
      <c r="J79" s="905"/>
      <c r="K79" s="905"/>
      <c r="L79" s="905"/>
      <c r="M79" s="905"/>
      <c r="N79" s="905"/>
      <c r="O79" s="905"/>
      <c r="P79" s="905"/>
      <c r="Q79" s="905"/>
      <c r="R79" s="905"/>
      <c r="S79" s="905"/>
      <c r="T79" s="905"/>
      <c r="U79" s="905"/>
      <c r="V79" s="905"/>
      <c r="W79" s="905"/>
      <c r="X79" s="905"/>
      <c r="Y79" s="905"/>
      <c r="Z79" s="905"/>
      <c r="AA79" s="905"/>
      <c r="AB79" s="905"/>
      <c r="AC79" s="905"/>
      <c r="AD79" s="905"/>
      <c r="AE79" s="905"/>
      <c r="AF79" s="905"/>
      <c r="AG79" s="905"/>
      <c r="AH79" s="905"/>
      <c r="AI79" s="905"/>
      <c r="AJ79" s="906"/>
      <c r="AK79" s="542"/>
      <c r="AL79" s="539"/>
      <c r="AM79" s="539"/>
      <c r="AN79" s="534"/>
    </row>
    <row r="80" spans="1:42" s="535" customFormat="1" ht="12.75" customHeight="1">
      <c r="A80" s="537"/>
      <c r="B80" s="539"/>
      <c r="C80" s="539"/>
      <c r="D80" s="550"/>
      <c r="E80" s="539"/>
      <c r="F80" s="539"/>
      <c r="G80" s="539"/>
      <c r="H80" s="539"/>
      <c r="I80" s="539"/>
      <c r="J80" s="539"/>
      <c r="K80" s="539"/>
      <c r="L80" s="539"/>
      <c r="M80" s="539"/>
      <c r="N80" s="539"/>
      <c r="O80" s="539"/>
      <c r="P80" s="539"/>
      <c r="Q80" s="539"/>
      <c r="R80" s="539"/>
      <c r="S80" s="539"/>
      <c r="T80" s="539"/>
      <c r="U80" s="539"/>
      <c r="V80" s="539"/>
      <c r="W80" s="539"/>
      <c r="X80" s="539"/>
      <c r="Y80" s="539"/>
      <c r="Z80" s="539"/>
      <c r="AA80" s="539"/>
      <c r="AB80" s="539"/>
      <c r="AC80" s="539"/>
      <c r="AD80" s="539"/>
      <c r="AE80" s="539"/>
      <c r="AF80" s="539"/>
      <c r="AG80" s="539"/>
      <c r="AH80" s="539"/>
      <c r="AI80" s="539"/>
      <c r="AJ80" s="539"/>
      <c r="AK80" s="542"/>
      <c r="AL80" s="539"/>
      <c r="AM80" s="539"/>
      <c r="AN80" s="534"/>
    </row>
    <row r="81" spans="1:43" s="535" customFormat="1" ht="12.75" customHeight="1">
      <c r="A81" s="537"/>
      <c r="B81" s="2409" t="s">
        <v>546</v>
      </c>
      <c r="C81" s="2409"/>
      <c r="D81" s="546" t="s">
        <v>1321</v>
      </c>
      <c r="E81" s="2410" t="s">
        <v>1741</v>
      </c>
      <c r="F81" s="2411"/>
      <c r="G81" s="2411"/>
      <c r="H81" s="2411"/>
      <c r="I81" s="2411"/>
      <c r="J81" s="2411"/>
      <c r="K81" s="2411"/>
      <c r="L81" s="2411"/>
      <c r="M81" s="2411"/>
      <c r="N81" s="2411"/>
      <c r="O81" s="2411"/>
      <c r="P81" s="2411"/>
      <c r="Q81" s="2411"/>
      <c r="R81" s="2411"/>
      <c r="S81" s="2411"/>
      <c r="T81" s="2411"/>
      <c r="U81" s="2411"/>
      <c r="V81" s="2411"/>
      <c r="W81" s="2411"/>
      <c r="X81" s="2411"/>
      <c r="Y81" s="2411"/>
      <c r="Z81" s="2411"/>
      <c r="AA81" s="2411"/>
      <c r="AB81" s="2411"/>
      <c r="AC81" s="2411"/>
      <c r="AD81" s="2411"/>
      <c r="AE81" s="2411"/>
      <c r="AF81" s="2411"/>
      <c r="AG81" s="2411"/>
      <c r="AH81" s="2411"/>
      <c r="AI81" s="2411"/>
      <c r="AJ81" s="2412"/>
      <c r="AK81" s="542"/>
      <c r="AL81" s="539"/>
      <c r="AM81" s="539"/>
      <c r="AN81" s="534"/>
    </row>
    <row r="82" spans="1:43" s="535" customFormat="1" ht="12.75" customHeight="1">
      <c r="A82" s="537"/>
      <c r="B82" s="539"/>
      <c r="C82" s="539"/>
      <c r="D82" s="549"/>
      <c r="E82" s="2413"/>
      <c r="F82" s="2414"/>
      <c r="G82" s="2414"/>
      <c r="H82" s="2414"/>
      <c r="I82" s="2414"/>
      <c r="J82" s="2414"/>
      <c r="K82" s="2414"/>
      <c r="L82" s="2414"/>
      <c r="M82" s="2414"/>
      <c r="N82" s="2414"/>
      <c r="O82" s="2414"/>
      <c r="P82" s="2414"/>
      <c r="Q82" s="2414"/>
      <c r="R82" s="2414"/>
      <c r="S82" s="2414"/>
      <c r="T82" s="2414"/>
      <c r="U82" s="2414"/>
      <c r="V82" s="2414"/>
      <c r="W82" s="2414"/>
      <c r="X82" s="2414"/>
      <c r="Y82" s="2414"/>
      <c r="Z82" s="2414"/>
      <c r="AA82" s="2414"/>
      <c r="AB82" s="2414"/>
      <c r="AC82" s="2414"/>
      <c r="AD82" s="2414"/>
      <c r="AE82" s="2414"/>
      <c r="AF82" s="2414"/>
      <c r="AG82" s="2414"/>
      <c r="AH82" s="2414"/>
      <c r="AI82" s="2414"/>
      <c r="AJ82" s="2415"/>
      <c r="AK82" s="542"/>
      <c r="AL82" s="539"/>
      <c r="AM82" s="539"/>
      <c r="AN82" s="534"/>
    </row>
    <row r="83" spans="1:43" s="535" customFormat="1" ht="12.75" customHeight="1">
      <c r="A83" s="537"/>
      <c r="B83" s="539"/>
      <c r="C83" s="539"/>
      <c r="D83" s="549"/>
      <c r="E83" s="539"/>
      <c r="F83" s="539"/>
      <c r="G83" s="539"/>
      <c r="H83" s="539"/>
      <c r="I83" s="539"/>
      <c r="J83" s="539"/>
      <c r="K83" s="539"/>
      <c r="L83" s="539"/>
      <c r="M83" s="539"/>
      <c r="N83" s="539"/>
      <c r="O83" s="539"/>
      <c r="P83" s="539"/>
      <c r="Q83" s="539"/>
      <c r="R83" s="539"/>
      <c r="S83" s="539"/>
      <c r="T83" s="539"/>
      <c r="U83" s="539"/>
      <c r="V83" s="539"/>
      <c r="W83" s="539"/>
      <c r="X83" s="539"/>
      <c r="Y83" s="539"/>
      <c r="Z83" s="539"/>
      <c r="AA83" s="539"/>
      <c r="AB83" s="539"/>
      <c r="AC83" s="539"/>
      <c r="AD83" s="539"/>
      <c r="AE83" s="539"/>
      <c r="AF83" s="539"/>
      <c r="AG83" s="539"/>
      <c r="AH83" s="539"/>
      <c r="AI83" s="539"/>
      <c r="AJ83" s="539"/>
      <c r="AK83" s="542"/>
      <c r="AL83" s="539"/>
      <c r="AM83" s="539"/>
      <c r="AN83" s="534"/>
    </row>
    <row r="84" spans="1:43" s="535" customFormat="1" ht="12.75" customHeight="1">
      <c r="A84" s="560"/>
      <c r="B84" s="561"/>
      <c r="C84" s="561"/>
      <c r="D84" s="561"/>
      <c r="E84" s="561"/>
      <c r="F84" s="561"/>
      <c r="G84" s="562"/>
      <c r="H84" s="563"/>
      <c r="I84" s="563"/>
      <c r="J84" s="563"/>
      <c r="K84" s="563"/>
      <c r="L84" s="563"/>
      <c r="M84" s="563"/>
      <c r="N84" s="563"/>
      <c r="O84" s="563"/>
      <c r="P84" s="563"/>
      <c r="Q84" s="563"/>
      <c r="R84" s="563"/>
      <c r="S84" s="563"/>
      <c r="T84" s="563"/>
      <c r="U84" s="563"/>
      <c r="V84" s="563"/>
      <c r="W84" s="563"/>
      <c r="X84" s="563"/>
      <c r="Y84" s="563"/>
      <c r="Z84" s="563"/>
      <c r="AA84" s="563"/>
      <c r="AB84" s="563"/>
      <c r="AC84" s="563"/>
      <c r="AD84" s="563"/>
      <c r="AE84" s="563"/>
      <c r="AF84" s="563"/>
      <c r="AG84" s="563"/>
      <c r="AH84" s="563"/>
      <c r="AI84" s="564"/>
      <c r="AJ84" s="564" t="s">
        <v>1322</v>
      </c>
      <c r="AK84" s="2442">
        <f>IF(AK62&gt;0,0,AO71)</f>
        <v>10</v>
      </c>
      <c r="AL84" s="2443"/>
      <c r="AM84" s="2444"/>
      <c r="AN84" s="534"/>
    </row>
    <row r="85" spans="1:43" s="535" customFormat="1" ht="12.75" customHeight="1" thickBot="1">
      <c r="A85" s="565"/>
      <c r="B85" s="566"/>
      <c r="C85" s="567"/>
      <c r="D85" s="567"/>
      <c r="E85" s="567"/>
      <c r="F85" s="567"/>
      <c r="G85" s="567"/>
      <c r="H85" s="567"/>
      <c r="I85" s="567"/>
      <c r="J85" s="567"/>
      <c r="K85" s="567"/>
      <c r="L85" s="567"/>
      <c r="M85" s="567"/>
      <c r="N85" s="567"/>
      <c r="O85" s="567"/>
      <c r="P85" s="567"/>
      <c r="Q85" s="567"/>
      <c r="R85" s="567"/>
      <c r="S85" s="567"/>
      <c r="T85" s="567"/>
      <c r="U85" s="567"/>
      <c r="V85" s="567"/>
      <c r="W85" s="567"/>
      <c r="X85" s="567"/>
      <c r="Y85" s="567"/>
      <c r="Z85" s="567"/>
      <c r="AA85" s="567"/>
      <c r="AB85" s="567"/>
      <c r="AC85" s="567"/>
      <c r="AD85" s="567"/>
      <c r="AE85" s="567"/>
      <c r="AF85" s="567"/>
      <c r="AG85" s="567"/>
      <c r="AH85" s="567"/>
      <c r="AI85" s="567"/>
      <c r="AJ85" s="567"/>
      <c r="AK85" s="567"/>
      <c r="AL85" s="567"/>
      <c r="AM85" s="568"/>
      <c r="AN85" s="534"/>
    </row>
    <row r="86" spans="1:43" s="535" customFormat="1" ht="12.75" customHeight="1" thickTop="1">
      <c r="A86" s="569"/>
      <c r="B86" s="570"/>
      <c r="C86" s="571"/>
      <c r="D86" s="571"/>
      <c r="E86" s="571"/>
      <c r="F86" s="571"/>
      <c r="G86" s="571"/>
      <c r="H86" s="571"/>
      <c r="I86" s="572"/>
      <c r="J86" s="572"/>
      <c r="K86" s="572"/>
      <c r="L86" s="572"/>
      <c r="M86" s="572"/>
      <c r="N86" s="572"/>
      <c r="O86" s="572"/>
      <c r="P86" s="572"/>
      <c r="Q86" s="572"/>
      <c r="R86" s="569"/>
      <c r="S86" s="538"/>
      <c r="T86" s="538"/>
      <c r="U86" s="538"/>
      <c r="V86" s="538"/>
      <c r="W86" s="538"/>
      <c r="X86" s="538"/>
      <c r="Y86" s="538"/>
      <c r="Z86" s="538"/>
      <c r="AA86" s="538"/>
      <c r="AB86" s="538"/>
      <c r="AC86" s="538"/>
      <c r="AD86" s="538"/>
      <c r="AE86" s="538"/>
      <c r="AF86" s="569"/>
      <c r="AG86" s="538"/>
      <c r="AH86" s="538"/>
      <c r="AI86" s="538"/>
      <c r="AJ86" s="538"/>
      <c r="AK86" s="549"/>
      <c r="AL86" s="549"/>
      <c r="AM86" s="549"/>
      <c r="AN86" s="534"/>
    </row>
    <row r="87" spans="1:43" s="535" customFormat="1" ht="12.75" customHeight="1">
      <c r="A87" s="537" t="s">
        <v>1323</v>
      </c>
      <c r="B87" s="538" t="s">
        <v>1324</v>
      </c>
      <c r="C87" s="538"/>
      <c r="D87" s="538"/>
      <c r="E87" s="538"/>
      <c r="F87" s="538"/>
      <c r="G87" s="538"/>
      <c r="H87" s="538"/>
      <c r="I87" s="538"/>
      <c r="J87" s="538"/>
      <c r="K87" s="538"/>
      <c r="L87" s="538"/>
      <c r="M87" s="538"/>
      <c r="N87" s="538"/>
      <c r="O87" s="538"/>
      <c r="P87" s="538"/>
      <c r="Q87" s="538"/>
      <c r="R87" s="538"/>
      <c r="S87" s="538"/>
      <c r="T87" s="538"/>
      <c r="U87" s="538"/>
      <c r="V87" s="538"/>
      <c r="W87" s="538"/>
      <c r="X87" s="538"/>
      <c r="Y87" s="538"/>
      <c r="Z87" s="538"/>
      <c r="AA87" s="538"/>
      <c r="AB87" s="538"/>
      <c r="AC87" s="538"/>
      <c r="AD87" s="538"/>
      <c r="AE87" s="2419" t="s">
        <v>1306</v>
      </c>
      <c r="AF87" s="2419"/>
      <c r="AG87" s="2419"/>
      <c r="AH87" s="2419"/>
      <c r="AI87" s="2419"/>
      <c r="AJ87" s="2419"/>
      <c r="AK87" s="2419"/>
      <c r="AL87" s="539"/>
      <c r="AM87" s="539"/>
      <c r="AN87" s="534"/>
    </row>
    <row r="88" spans="1:43" s="535" customFormat="1" ht="12.75" customHeight="1">
      <c r="A88" s="537"/>
      <c r="B88" s="538" t="s">
        <v>1325</v>
      </c>
      <c r="C88" s="538"/>
      <c r="D88" s="538"/>
      <c r="E88" s="538"/>
      <c r="F88" s="538"/>
      <c r="G88" s="538"/>
      <c r="H88" s="538"/>
      <c r="I88" s="538"/>
      <c r="J88" s="538"/>
      <c r="K88" s="538"/>
      <c r="L88" s="538"/>
      <c r="M88" s="538"/>
      <c r="N88" s="538"/>
      <c r="O88" s="538"/>
      <c r="P88" s="538"/>
      <c r="Q88" s="538"/>
      <c r="R88" s="538"/>
      <c r="S88" s="538"/>
      <c r="T88" s="538"/>
      <c r="U88" s="538"/>
      <c r="V88" s="538"/>
      <c r="W88" s="538"/>
      <c r="X88" s="538"/>
      <c r="Y88" s="538"/>
      <c r="Z88" s="538"/>
      <c r="AA88" s="538"/>
      <c r="AB88" s="538"/>
      <c r="AC88" s="538"/>
      <c r="AD88" s="538"/>
      <c r="AE88" s="542"/>
      <c r="AF88" s="542"/>
      <c r="AG88" s="542"/>
      <c r="AH88" s="542"/>
      <c r="AI88" s="542"/>
      <c r="AJ88" s="542"/>
      <c r="AK88" s="542"/>
      <c r="AL88" s="539"/>
      <c r="AM88" s="539"/>
      <c r="AN88" s="534"/>
    </row>
    <row r="89" spans="1:43" s="535" customFormat="1" ht="12.75" customHeight="1">
      <c r="A89" s="537"/>
      <c r="B89" s="538"/>
      <c r="C89" s="538"/>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538"/>
      <c r="AE89" s="542"/>
      <c r="AF89" s="542"/>
      <c r="AG89" s="542"/>
      <c r="AH89" s="542"/>
      <c r="AI89" s="542"/>
      <c r="AJ89" s="542"/>
      <c r="AK89" s="542"/>
      <c r="AL89" s="539"/>
      <c r="AM89" s="539"/>
      <c r="AN89" s="534"/>
    </row>
    <row r="90" spans="1:43" s="535" customFormat="1" ht="12.75" customHeight="1">
      <c r="A90" s="537"/>
      <c r="B90" s="2409" t="s">
        <v>546</v>
      </c>
      <c r="C90" s="2409"/>
      <c r="D90" s="546" t="s">
        <v>1316</v>
      </c>
      <c r="E90" s="2420" t="s">
        <v>1326</v>
      </c>
      <c r="F90" s="2421"/>
      <c r="G90" s="2421"/>
      <c r="H90" s="2421"/>
      <c r="I90" s="2421"/>
      <c r="J90" s="2421"/>
      <c r="K90" s="2421"/>
      <c r="L90" s="2421"/>
      <c r="M90" s="2421"/>
      <c r="N90" s="2421"/>
      <c r="O90" s="2421"/>
      <c r="P90" s="2421"/>
      <c r="Q90" s="2421"/>
      <c r="R90" s="2421"/>
      <c r="S90" s="2421"/>
      <c r="T90" s="2421"/>
      <c r="U90" s="2421"/>
      <c r="V90" s="2421"/>
      <c r="W90" s="2421"/>
      <c r="X90" s="2421"/>
      <c r="Y90" s="2421"/>
      <c r="Z90" s="2421"/>
      <c r="AA90" s="2421"/>
      <c r="AB90" s="2421"/>
      <c r="AC90" s="2421"/>
      <c r="AD90" s="2421"/>
      <c r="AE90" s="2421"/>
      <c r="AF90" s="2421"/>
      <c r="AG90" s="2421"/>
      <c r="AH90" s="2421"/>
      <c r="AI90" s="2421"/>
      <c r="AJ90" s="2422"/>
      <c r="AK90" s="542"/>
      <c r="AL90" s="539"/>
      <c r="AM90" s="539"/>
      <c r="AN90" s="534"/>
    </row>
    <row r="91" spans="1:43" s="535" customFormat="1" ht="12.75" customHeight="1">
      <c r="A91" s="537"/>
      <c r="B91" s="538"/>
      <c r="C91" s="538"/>
      <c r="D91" s="538"/>
      <c r="E91" s="2423"/>
      <c r="F91" s="2424"/>
      <c r="G91" s="2424"/>
      <c r="H91" s="2424"/>
      <c r="I91" s="2424"/>
      <c r="J91" s="2424"/>
      <c r="K91" s="2424"/>
      <c r="L91" s="2424"/>
      <c r="M91" s="2424"/>
      <c r="N91" s="2424"/>
      <c r="O91" s="2424"/>
      <c r="P91" s="2424"/>
      <c r="Q91" s="2424"/>
      <c r="R91" s="2424"/>
      <c r="S91" s="2424"/>
      <c r="T91" s="2424"/>
      <c r="U91" s="2424"/>
      <c r="V91" s="2424"/>
      <c r="W91" s="2424"/>
      <c r="X91" s="2424"/>
      <c r="Y91" s="2424"/>
      <c r="Z91" s="2424"/>
      <c r="AA91" s="2424"/>
      <c r="AB91" s="2424"/>
      <c r="AC91" s="2424"/>
      <c r="AD91" s="2424"/>
      <c r="AE91" s="2424"/>
      <c r="AF91" s="2424"/>
      <c r="AG91" s="2424"/>
      <c r="AH91" s="2424"/>
      <c r="AI91" s="2424"/>
      <c r="AJ91" s="2425"/>
      <c r="AK91" s="542"/>
      <c r="AL91" s="539"/>
      <c r="AM91" s="539"/>
      <c r="AN91" s="534"/>
    </row>
    <row r="92" spans="1:43" s="535" customFormat="1" ht="12.75" customHeight="1">
      <c r="A92" s="537"/>
      <c r="B92" s="538"/>
      <c r="C92" s="538"/>
      <c r="D92" s="538"/>
      <c r="E92" s="575"/>
      <c r="F92" s="576"/>
      <c r="G92" s="576"/>
      <c r="H92" s="576"/>
      <c r="I92" s="576"/>
      <c r="J92" s="576"/>
      <c r="K92" s="576"/>
      <c r="L92" s="576"/>
      <c r="M92" s="576"/>
      <c r="N92" s="576"/>
      <c r="O92" s="576"/>
      <c r="P92" s="576"/>
      <c r="Q92" s="576"/>
      <c r="R92" s="576"/>
      <c r="S92" s="576"/>
      <c r="T92" s="576"/>
      <c r="U92" s="576"/>
      <c r="V92" s="576"/>
      <c r="W92" s="576"/>
      <c r="X92" s="576"/>
      <c r="Y92" s="576"/>
      <c r="Z92" s="577"/>
      <c r="AA92" s="577"/>
      <c r="AB92" s="577"/>
      <c r="AC92" s="576"/>
      <c r="AD92" s="576"/>
      <c r="AE92" s="576"/>
      <c r="AF92" s="576"/>
      <c r="AG92" s="576"/>
      <c r="AH92" s="576"/>
      <c r="AI92" s="576"/>
      <c r="AJ92" s="578"/>
      <c r="AK92" s="542"/>
      <c r="AL92" s="539"/>
      <c r="AM92" s="539"/>
      <c r="AN92" s="534"/>
    </row>
    <row r="93" spans="1:43" s="535" customFormat="1" ht="12.75" customHeight="1">
      <c r="A93" s="537"/>
      <c r="B93" s="538"/>
      <c r="C93" s="538"/>
      <c r="D93" s="538"/>
      <c r="E93" s="2403">
        <f>Application!AC753</f>
        <v>0.448993288590604</v>
      </c>
      <c r="F93" s="2404"/>
      <c r="G93" s="2404"/>
      <c r="H93" s="2404"/>
      <c r="I93" s="576"/>
      <c r="J93" s="579" t="s">
        <v>1327</v>
      </c>
      <c r="K93" s="576"/>
      <c r="L93" s="576"/>
      <c r="M93" s="576"/>
      <c r="N93" s="576"/>
      <c r="O93" s="576"/>
      <c r="P93" s="576"/>
      <c r="Q93" s="576"/>
      <c r="R93" s="576"/>
      <c r="S93" s="576"/>
      <c r="T93" s="576"/>
      <c r="U93" s="576"/>
      <c r="V93" s="576"/>
      <c r="W93" s="576"/>
      <c r="X93" s="576"/>
      <c r="Y93" s="576"/>
      <c r="Z93" s="580"/>
      <c r="AA93" s="580"/>
      <c r="AB93" s="580"/>
      <c r="AC93" s="576"/>
      <c r="AD93" s="576"/>
      <c r="AE93" s="576"/>
      <c r="AF93" s="576"/>
      <c r="AG93" s="576"/>
      <c r="AH93" s="576"/>
      <c r="AI93" s="576"/>
      <c r="AJ93" s="578"/>
      <c r="AK93" s="542"/>
      <c r="AL93" s="539"/>
      <c r="AM93" s="539"/>
      <c r="AN93" s="534"/>
    </row>
    <row r="94" spans="1:43" s="535" customFormat="1" ht="12.75" customHeight="1">
      <c r="A94" s="537"/>
      <c r="B94" s="538"/>
      <c r="C94" s="538"/>
      <c r="D94" s="538"/>
      <c r="E94" s="2405">
        <f>0.6-ROUNDUP(E93,2)</f>
        <v>0.14999999999999997</v>
      </c>
      <c r="F94" s="2406"/>
      <c r="G94" s="2406"/>
      <c r="H94" s="2406"/>
      <c r="I94" s="576"/>
      <c r="J94" s="579" t="s">
        <v>1328</v>
      </c>
      <c r="K94" s="576"/>
      <c r="L94" s="576"/>
      <c r="M94" s="576"/>
      <c r="N94" s="576"/>
      <c r="O94" s="576"/>
      <c r="P94" s="576"/>
      <c r="Q94" s="576"/>
      <c r="R94" s="576"/>
      <c r="S94" s="576"/>
      <c r="T94" s="576"/>
      <c r="U94" s="576"/>
      <c r="V94" s="576"/>
      <c r="W94" s="576"/>
      <c r="X94" s="576"/>
      <c r="Y94" s="576"/>
      <c r="Z94" s="576"/>
      <c r="AA94" s="576"/>
      <c r="AB94" s="576"/>
      <c r="AC94" s="576"/>
      <c r="AD94" s="576"/>
      <c r="AE94" s="576"/>
      <c r="AF94" s="576"/>
      <c r="AG94" s="576"/>
      <c r="AH94" s="576"/>
      <c r="AI94" s="576"/>
      <c r="AJ94" s="578"/>
      <c r="AK94" s="542"/>
      <c r="AL94" s="539"/>
      <c r="AM94" s="539"/>
      <c r="AN94" s="534"/>
    </row>
    <row r="95" spans="1:43" s="535" customFormat="1" ht="12.75" customHeight="1">
      <c r="A95" s="537"/>
      <c r="B95" s="538"/>
      <c r="C95" s="538"/>
      <c r="D95" s="538"/>
      <c r="E95" s="2436">
        <f>IF(E94*200&gt;20,20,E94*200)</f>
        <v>20</v>
      </c>
      <c r="F95" s="2437"/>
      <c r="G95" s="2437"/>
      <c r="H95" s="2437"/>
      <c r="I95" s="576"/>
      <c r="J95" s="579" t="s">
        <v>1329</v>
      </c>
      <c r="K95" s="576"/>
      <c r="L95" s="576"/>
      <c r="M95" s="576"/>
      <c r="N95" s="576"/>
      <c r="O95" s="576"/>
      <c r="P95" s="576"/>
      <c r="Q95" s="576"/>
      <c r="R95" s="576"/>
      <c r="S95" s="576"/>
      <c r="T95" s="576"/>
      <c r="U95" s="576"/>
      <c r="V95" s="576"/>
      <c r="W95" s="576"/>
      <c r="X95" s="576"/>
      <c r="Y95" s="576"/>
      <c r="Z95" s="576"/>
      <c r="AA95" s="576"/>
      <c r="AB95" s="576"/>
      <c r="AC95" s="576"/>
      <c r="AD95" s="576"/>
      <c r="AE95" s="576"/>
      <c r="AF95" s="576"/>
      <c r="AG95" s="576"/>
      <c r="AH95" s="576"/>
      <c r="AI95" s="576"/>
      <c r="AJ95" s="578"/>
      <c r="AK95" s="542"/>
      <c r="AL95" s="539"/>
      <c r="AM95" s="539"/>
      <c r="AN95" s="534"/>
      <c r="AP95" s="535">
        <f>IF(B90="yes",E95,0)</f>
        <v>20</v>
      </c>
      <c r="AQ95" s="535" t="s">
        <v>1309</v>
      </c>
    </row>
    <row r="96" spans="1:43" s="535" customFormat="1" ht="12.75" customHeight="1">
      <c r="A96" s="537"/>
      <c r="B96" s="538"/>
      <c r="C96" s="538"/>
      <c r="D96" s="538"/>
      <c r="E96" s="581"/>
      <c r="F96" s="582"/>
      <c r="G96" s="582"/>
      <c r="H96" s="582"/>
      <c r="I96" s="582"/>
      <c r="J96" s="582"/>
      <c r="K96" s="582"/>
      <c r="L96" s="582"/>
      <c r="M96" s="582"/>
      <c r="N96" s="582"/>
      <c r="O96" s="582"/>
      <c r="P96" s="582"/>
      <c r="Q96" s="582"/>
      <c r="R96" s="582"/>
      <c r="S96" s="582"/>
      <c r="T96" s="582"/>
      <c r="U96" s="582"/>
      <c r="V96" s="582"/>
      <c r="W96" s="582"/>
      <c r="X96" s="582"/>
      <c r="Y96" s="582"/>
      <c r="Z96" s="582"/>
      <c r="AA96" s="582"/>
      <c r="AB96" s="582"/>
      <c r="AC96" s="582"/>
      <c r="AD96" s="582"/>
      <c r="AE96" s="583"/>
      <c r="AF96" s="583"/>
      <c r="AG96" s="583"/>
      <c r="AH96" s="583"/>
      <c r="AI96" s="583"/>
      <c r="AJ96" s="584"/>
      <c r="AK96" s="542"/>
      <c r="AL96" s="539"/>
      <c r="AM96" s="539"/>
      <c r="AN96" s="534"/>
    </row>
    <row r="97" spans="1:47" s="535" customFormat="1" ht="12.75" customHeight="1">
      <c r="A97" s="537"/>
      <c r="B97" s="538"/>
      <c r="C97" s="538"/>
      <c r="D97" s="538"/>
      <c r="E97" s="538"/>
      <c r="F97" s="538"/>
      <c r="G97" s="538"/>
      <c r="H97" s="538"/>
      <c r="I97" s="538"/>
      <c r="J97" s="538"/>
      <c r="K97" s="538"/>
      <c r="L97" s="538"/>
      <c r="M97" s="538"/>
      <c r="N97" s="538"/>
      <c r="O97" s="538"/>
      <c r="P97" s="538"/>
      <c r="Q97" s="538"/>
      <c r="R97" s="538"/>
      <c r="S97" s="538"/>
      <c r="T97" s="538"/>
      <c r="U97" s="538"/>
      <c r="V97" s="538"/>
      <c r="W97" s="538"/>
      <c r="X97" s="538"/>
      <c r="Y97" s="538"/>
      <c r="Z97" s="538"/>
      <c r="AA97" s="538"/>
      <c r="AB97" s="538"/>
      <c r="AC97" s="538"/>
      <c r="AD97" s="538"/>
      <c r="AE97" s="542"/>
      <c r="AF97" s="542"/>
      <c r="AG97" s="542"/>
      <c r="AH97" s="542"/>
      <c r="AI97" s="542"/>
      <c r="AJ97" s="542"/>
      <c r="AK97" s="542"/>
      <c r="AL97" s="539"/>
      <c r="AM97" s="539"/>
      <c r="AN97" s="534"/>
    </row>
    <row r="98" spans="1:47" s="535" customFormat="1" ht="12.75" customHeight="1">
      <c r="A98" s="537"/>
      <c r="B98" s="2409" t="s">
        <v>592</v>
      </c>
      <c r="C98" s="2409"/>
      <c r="D98" s="546" t="s">
        <v>1318</v>
      </c>
      <c r="E98" s="2420" t="s">
        <v>1726</v>
      </c>
      <c r="F98" s="2421"/>
      <c r="G98" s="2421"/>
      <c r="H98" s="2421"/>
      <c r="I98" s="2421"/>
      <c r="J98" s="2421"/>
      <c r="K98" s="2421"/>
      <c r="L98" s="2421"/>
      <c r="M98" s="2421"/>
      <c r="N98" s="2421"/>
      <c r="O98" s="2421"/>
      <c r="P98" s="2421"/>
      <c r="Q98" s="2421"/>
      <c r="R98" s="2421"/>
      <c r="S98" s="2421"/>
      <c r="T98" s="2421"/>
      <c r="U98" s="2421"/>
      <c r="V98" s="2421"/>
      <c r="W98" s="2421"/>
      <c r="X98" s="2421"/>
      <c r="Y98" s="2421"/>
      <c r="Z98" s="2421"/>
      <c r="AA98" s="2421"/>
      <c r="AB98" s="2421"/>
      <c r="AC98" s="2421"/>
      <c r="AD98" s="2421"/>
      <c r="AE98" s="2421"/>
      <c r="AF98" s="2421"/>
      <c r="AG98" s="2421"/>
      <c r="AH98" s="2421"/>
      <c r="AI98" s="2421"/>
      <c r="AJ98" s="2422"/>
      <c r="AK98" s="542"/>
      <c r="AL98" s="539"/>
      <c r="AM98" s="539"/>
      <c r="AN98" s="534"/>
    </row>
    <row r="99" spans="1:47" s="535" customFormat="1" ht="12.75" customHeight="1">
      <c r="A99" s="537"/>
      <c r="B99" s="538"/>
      <c r="C99" s="538"/>
      <c r="D99" s="538"/>
      <c r="E99" s="2423"/>
      <c r="F99" s="2424"/>
      <c r="G99" s="2424"/>
      <c r="H99" s="2424"/>
      <c r="I99" s="2424"/>
      <c r="J99" s="2424"/>
      <c r="K99" s="2424"/>
      <c r="L99" s="2424"/>
      <c r="M99" s="2424"/>
      <c r="N99" s="2424"/>
      <c r="O99" s="2424"/>
      <c r="P99" s="2424"/>
      <c r="Q99" s="2424"/>
      <c r="R99" s="2424"/>
      <c r="S99" s="2424"/>
      <c r="T99" s="2424"/>
      <c r="U99" s="2424"/>
      <c r="V99" s="2424"/>
      <c r="W99" s="2424"/>
      <c r="X99" s="2424"/>
      <c r="Y99" s="2424"/>
      <c r="Z99" s="2424"/>
      <c r="AA99" s="2424"/>
      <c r="AB99" s="2424"/>
      <c r="AC99" s="2424"/>
      <c r="AD99" s="2424"/>
      <c r="AE99" s="2424"/>
      <c r="AF99" s="2424"/>
      <c r="AG99" s="2424"/>
      <c r="AH99" s="2424"/>
      <c r="AI99" s="2424"/>
      <c r="AJ99" s="2425"/>
      <c r="AK99" s="542"/>
      <c r="AL99" s="539"/>
      <c r="AM99" s="539"/>
      <c r="AN99" s="534"/>
    </row>
    <row r="100" spans="1:47" s="535" customFormat="1" ht="12.75" customHeight="1">
      <c r="A100" s="537"/>
      <c r="B100" s="538"/>
      <c r="C100" s="538"/>
      <c r="D100" s="538"/>
      <c r="E100" s="2423"/>
      <c r="F100" s="2424"/>
      <c r="G100" s="2424"/>
      <c r="H100" s="2424"/>
      <c r="I100" s="2424"/>
      <c r="J100" s="2424"/>
      <c r="K100" s="2424"/>
      <c r="L100" s="2424"/>
      <c r="M100" s="2424"/>
      <c r="N100" s="2424"/>
      <c r="O100" s="2424"/>
      <c r="P100" s="2424"/>
      <c r="Q100" s="2424"/>
      <c r="R100" s="2424"/>
      <c r="S100" s="2424"/>
      <c r="T100" s="2424"/>
      <c r="U100" s="2424"/>
      <c r="V100" s="2424"/>
      <c r="W100" s="2424"/>
      <c r="X100" s="2424"/>
      <c r="Y100" s="2424"/>
      <c r="Z100" s="2424"/>
      <c r="AA100" s="2424"/>
      <c r="AB100" s="2424"/>
      <c r="AC100" s="2424"/>
      <c r="AD100" s="2424"/>
      <c r="AE100" s="2424"/>
      <c r="AF100" s="2424"/>
      <c r="AG100" s="2424"/>
      <c r="AH100" s="2424"/>
      <c r="AI100" s="2424"/>
      <c r="AJ100" s="2425"/>
      <c r="AK100" s="542"/>
      <c r="AL100" s="539"/>
      <c r="AM100" s="539"/>
      <c r="AN100" s="534"/>
    </row>
    <row r="101" spans="1:47" s="535" customFormat="1" ht="12.75" customHeight="1">
      <c r="A101" s="537"/>
      <c r="B101" s="538"/>
      <c r="C101" s="538"/>
      <c r="D101" s="538"/>
      <c r="E101" s="2423"/>
      <c r="F101" s="2424"/>
      <c r="G101" s="2424"/>
      <c r="H101" s="2424"/>
      <c r="I101" s="2424"/>
      <c r="J101" s="2424"/>
      <c r="K101" s="2424"/>
      <c r="L101" s="2424"/>
      <c r="M101" s="2424"/>
      <c r="N101" s="2424"/>
      <c r="O101" s="2424"/>
      <c r="P101" s="2424"/>
      <c r="Q101" s="2424"/>
      <c r="R101" s="2424"/>
      <c r="S101" s="2424"/>
      <c r="T101" s="2424"/>
      <c r="U101" s="2424"/>
      <c r="V101" s="2424"/>
      <c r="W101" s="2424"/>
      <c r="X101" s="2424"/>
      <c r="Y101" s="2424"/>
      <c r="Z101" s="2424"/>
      <c r="AA101" s="2424"/>
      <c r="AB101" s="2424"/>
      <c r="AC101" s="2424"/>
      <c r="AD101" s="2424"/>
      <c r="AE101" s="2424"/>
      <c r="AF101" s="2424"/>
      <c r="AG101" s="2424"/>
      <c r="AH101" s="2424"/>
      <c r="AI101" s="2424"/>
      <c r="AJ101" s="2425"/>
      <c r="AK101" s="542"/>
      <c r="AL101" s="539"/>
      <c r="AM101" s="539"/>
      <c r="AN101" s="534"/>
    </row>
    <row r="102" spans="1:47" s="535" customFormat="1" ht="12.75" customHeight="1">
      <c r="A102" s="537"/>
      <c r="B102" s="538"/>
      <c r="C102" s="538"/>
      <c r="D102" s="538"/>
      <c r="E102" s="585"/>
      <c r="F102" s="552"/>
      <c r="G102" s="552"/>
      <c r="H102" s="552"/>
      <c r="I102" s="552"/>
      <c r="J102" s="552"/>
      <c r="K102" s="552"/>
      <c r="L102" s="552"/>
      <c r="M102" s="552"/>
      <c r="N102" s="552"/>
      <c r="O102" s="552"/>
      <c r="P102" s="552"/>
      <c r="Q102" s="552"/>
      <c r="R102" s="552"/>
      <c r="S102" s="552"/>
      <c r="T102" s="552"/>
      <c r="U102" s="552"/>
      <c r="V102" s="552"/>
      <c r="W102" s="552"/>
      <c r="X102" s="552"/>
      <c r="Y102" s="552"/>
      <c r="Z102" s="552"/>
      <c r="AA102" s="552"/>
      <c r="AB102" s="552"/>
      <c r="AC102" s="552"/>
      <c r="AD102" s="552"/>
      <c r="AE102" s="552"/>
      <c r="AF102" s="552"/>
      <c r="AG102" s="552"/>
      <c r="AH102" s="552"/>
      <c r="AI102" s="552"/>
      <c r="AJ102" s="553"/>
      <c r="AK102" s="542"/>
      <c r="AL102" s="539"/>
      <c r="AM102" s="539"/>
      <c r="AN102" s="534"/>
    </row>
    <row r="103" spans="1:47" s="535" customFormat="1" ht="12.75" customHeight="1">
      <c r="A103" s="537"/>
      <c r="B103" s="538"/>
      <c r="C103" s="538"/>
      <c r="D103" s="538"/>
      <c r="E103" s="2403">
        <f>Application!AC753</f>
        <v>0.448993288590604</v>
      </c>
      <c r="F103" s="2404"/>
      <c r="G103" s="2404"/>
      <c r="H103" s="2404"/>
      <c r="I103" s="576"/>
      <c r="J103" s="579" t="s">
        <v>1327</v>
      </c>
      <c r="K103" s="576"/>
      <c r="L103" s="576"/>
      <c r="M103" s="576"/>
      <c r="N103" s="576"/>
      <c r="O103" s="576"/>
      <c r="P103" s="576"/>
      <c r="Q103" s="576"/>
      <c r="R103" s="552"/>
      <c r="S103" s="552"/>
      <c r="T103" s="552"/>
      <c r="U103" s="552"/>
      <c r="V103" s="552"/>
      <c r="W103" s="552"/>
      <c r="X103" s="552"/>
      <c r="Y103" s="552"/>
      <c r="Z103" s="552"/>
      <c r="AA103" s="552"/>
      <c r="AB103" s="552"/>
      <c r="AC103" s="552"/>
      <c r="AD103" s="552"/>
      <c r="AE103" s="552"/>
      <c r="AF103" s="552"/>
      <c r="AG103" s="552"/>
      <c r="AH103" s="552"/>
      <c r="AI103" s="552"/>
      <c r="AJ103" s="553"/>
      <c r="AK103" s="542"/>
      <c r="AL103" s="539"/>
      <c r="AM103" s="539"/>
      <c r="AN103" s="534"/>
    </row>
    <row r="104" spans="1:47" s="535" customFormat="1" ht="12.75" customHeight="1">
      <c r="A104" s="537"/>
      <c r="B104" s="538"/>
      <c r="C104" s="538"/>
      <c r="D104" s="538"/>
      <c r="E104" s="2403">
        <f ca="1">SUMIF(Application!AC718:AG752,0.2,Application!G718:J752)/Application!G753+SUMIF(Application!AC718:AG752,0.25,Application!G718:J752)/Application!G753+SUMIF(Application!AC718:AG752,0.3,Application!G718:J752)/Application!G753</f>
        <v>0.50335570469798663</v>
      </c>
      <c r="F104" s="2404"/>
      <c r="G104" s="2404"/>
      <c r="H104" s="2404"/>
      <c r="I104" s="576"/>
      <c r="J104" s="579" t="s">
        <v>1330</v>
      </c>
      <c r="K104" s="576"/>
      <c r="L104" s="576"/>
      <c r="M104" s="576"/>
      <c r="N104" s="576"/>
      <c r="O104" s="576"/>
      <c r="P104" s="576"/>
      <c r="Q104" s="576"/>
      <c r="R104" s="552"/>
      <c r="S104" s="552"/>
      <c r="T104" s="552"/>
      <c r="U104" s="552"/>
      <c r="V104" s="552"/>
      <c r="W104" s="552"/>
      <c r="X104" s="552"/>
      <c r="Y104" s="552"/>
      <c r="Z104" s="552"/>
      <c r="AA104" s="552"/>
      <c r="AB104" s="552"/>
      <c r="AC104" s="552"/>
      <c r="AD104" s="552"/>
      <c r="AE104" s="552"/>
      <c r="AF104" s="552"/>
      <c r="AG104" s="552"/>
      <c r="AH104" s="552"/>
      <c r="AI104" s="552"/>
      <c r="AJ104" s="553"/>
      <c r="AK104" s="542"/>
      <c r="AL104" s="539"/>
      <c r="AM104" s="539"/>
      <c r="AN104" s="534"/>
      <c r="AU104" s="861"/>
    </row>
    <row r="105" spans="1:47" s="535" customFormat="1" ht="12.75" customHeight="1">
      <c r="A105" s="537"/>
      <c r="B105" s="538"/>
      <c r="C105" s="538"/>
      <c r="D105" s="538"/>
      <c r="E105" s="2403">
        <f ca="1">SUMIF(Application!AC718:AG752,0.35,Application!G718:J752)/Application!G753+SUMIF(Application!AC718:AG752,0.4,Application!G718:J752)/Application!G753+SUMIF(Application!AC718:AG752,0.45,Application!G718:J752)/Application!G753+SUMIF(Application!AC718:AG752,0.5,Application!G718:J752)/Application!G753</f>
        <v>0</v>
      </c>
      <c r="F105" s="2404"/>
      <c r="G105" s="2404"/>
      <c r="H105" s="2404"/>
      <c r="I105" s="576"/>
      <c r="J105" s="579" t="s">
        <v>1331</v>
      </c>
      <c r="K105" s="576"/>
      <c r="L105" s="576"/>
      <c r="M105" s="576"/>
      <c r="N105" s="576"/>
      <c r="O105" s="576"/>
      <c r="P105" s="576"/>
      <c r="Q105" s="576"/>
      <c r="R105" s="552"/>
      <c r="S105" s="552"/>
      <c r="T105" s="552"/>
      <c r="U105" s="552"/>
      <c r="V105" s="552"/>
      <c r="W105" s="552"/>
      <c r="X105" s="552"/>
      <c r="Y105" s="552"/>
      <c r="Z105" s="552"/>
      <c r="AA105" s="552"/>
      <c r="AB105" s="552"/>
      <c r="AC105" s="552"/>
      <c r="AD105" s="552"/>
      <c r="AE105" s="552"/>
      <c r="AF105" s="552"/>
      <c r="AG105" s="552"/>
      <c r="AH105" s="552"/>
      <c r="AI105" s="552"/>
      <c r="AJ105" s="553"/>
      <c r="AK105" s="542"/>
      <c r="AL105" s="539"/>
      <c r="AM105" s="539"/>
      <c r="AN105" s="534"/>
      <c r="AU105" s="861"/>
    </row>
    <row r="106" spans="1:47" s="535" customFormat="1" ht="12.75" customHeight="1">
      <c r="A106" s="537"/>
      <c r="B106" s="538"/>
      <c r="C106" s="538"/>
      <c r="D106" s="538"/>
      <c r="E106" s="2461">
        <f ca="1">IF(AND(E103&lt;=0.6,OR(AND(E104&gt;=0.1,E105&gt;=0.1),AND(E104&gt;0.1,(E104+E105)&gt;=0.2))),20,0)</f>
        <v>20</v>
      </c>
      <c r="F106" s="2462"/>
      <c r="G106" s="2462"/>
      <c r="H106" s="2462"/>
      <c r="I106" s="552"/>
      <c r="J106" s="586" t="s">
        <v>1329</v>
      </c>
      <c r="K106" s="552"/>
      <c r="L106" s="552"/>
      <c r="M106" s="552"/>
      <c r="N106" s="552"/>
      <c r="O106" s="552"/>
      <c r="P106" s="552"/>
      <c r="Q106" s="552"/>
      <c r="R106" s="552"/>
      <c r="S106" s="552"/>
      <c r="T106" s="552"/>
      <c r="U106" s="552"/>
      <c r="V106" s="552"/>
      <c r="W106" s="552"/>
      <c r="X106" s="552"/>
      <c r="Y106" s="552"/>
      <c r="Z106" s="552"/>
      <c r="AA106" s="552"/>
      <c r="AB106" s="552"/>
      <c r="AC106" s="552"/>
      <c r="AD106" s="552"/>
      <c r="AE106" s="552"/>
      <c r="AF106" s="552"/>
      <c r="AG106" s="552"/>
      <c r="AH106" s="552"/>
      <c r="AI106" s="552"/>
      <c r="AJ106" s="553"/>
      <c r="AK106" s="542"/>
      <c r="AL106" s="539"/>
      <c r="AM106" s="539"/>
      <c r="AN106" s="534"/>
      <c r="AP106" s="535">
        <f>IF(B98="yes",E106,0)</f>
        <v>0</v>
      </c>
      <c r="AQ106" s="535" t="s">
        <v>1309</v>
      </c>
    </row>
    <row r="107" spans="1:47" s="535" customFormat="1" ht="12.75" customHeight="1">
      <c r="A107" s="537"/>
      <c r="B107" s="538"/>
      <c r="C107" s="538"/>
      <c r="D107" s="538"/>
      <c r="E107" s="581"/>
      <c r="F107" s="582"/>
      <c r="G107" s="582"/>
      <c r="H107" s="582"/>
      <c r="I107" s="582"/>
      <c r="J107" s="582"/>
      <c r="K107" s="582"/>
      <c r="L107" s="582"/>
      <c r="M107" s="582"/>
      <c r="N107" s="582"/>
      <c r="O107" s="582"/>
      <c r="P107" s="582"/>
      <c r="Q107" s="582"/>
      <c r="R107" s="582"/>
      <c r="S107" s="582"/>
      <c r="T107" s="582"/>
      <c r="U107" s="582"/>
      <c r="V107" s="582"/>
      <c r="W107" s="582"/>
      <c r="X107" s="582"/>
      <c r="Y107" s="582"/>
      <c r="Z107" s="582"/>
      <c r="AA107" s="582"/>
      <c r="AB107" s="582"/>
      <c r="AC107" s="582"/>
      <c r="AD107" s="582"/>
      <c r="AE107" s="583"/>
      <c r="AF107" s="583"/>
      <c r="AG107" s="583"/>
      <c r="AH107" s="583"/>
      <c r="AI107" s="583"/>
      <c r="AJ107" s="584"/>
      <c r="AK107" s="542"/>
      <c r="AL107" s="539"/>
      <c r="AM107" s="539"/>
      <c r="AN107" s="534"/>
    </row>
    <row r="108" spans="1:47" s="535" customFormat="1" ht="12.75" customHeight="1">
      <c r="A108" s="537"/>
      <c r="B108" s="538"/>
      <c r="C108" s="538"/>
      <c r="D108" s="538"/>
      <c r="E108" s="538"/>
      <c r="F108" s="538"/>
      <c r="G108" s="538"/>
      <c r="H108" s="538"/>
      <c r="I108" s="538"/>
      <c r="J108" s="538"/>
      <c r="K108" s="538"/>
      <c r="L108" s="538"/>
      <c r="M108" s="538"/>
      <c r="N108" s="538"/>
      <c r="O108" s="538"/>
      <c r="P108" s="538"/>
      <c r="Q108" s="538"/>
      <c r="R108" s="538"/>
      <c r="S108" s="538"/>
      <c r="T108" s="538"/>
      <c r="U108" s="538"/>
      <c r="V108" s="538"/>
      <c r="W108" s="538"/>
      <c r="X108" s="538"/>
      <c r="Y108" s="538"/>
      <c r="Z108" s="538"/>
      <c r="AA108" s="538"/>
      <c r="AB108" s="538"/>
      <c r="AC108" s="538"/>
      <c r="AD108" s="538"/>
      <c r="AE108" s="542"/>
      <c r="AF108" s="542"/>
      <c r="AG108" s="542"/>
      <c r="AH108" s="542"/>
      <c r="AI108" s="542"/>
      <c r="AJ108" s="542"/>
      <c r="AK108" s="542"/>
      <c r="AL108" s="539"/>
      <c r="AM108" s="539"/>
      <c r="AN108" s="534"/>
    </row>
    <row r="109" spans="1:47" s="535" customFormat="1" ht="12.75" customHeight="1">
      <c r="A109" s="560"/>
      <c r="B109" s="561"/>
      <c r="C109" s="561"/>
      <c r="D109" s="561"/>
      <c r="E109" s="561"/>
      <c r="F109" s="561"/>
      <c r="G109" s="562"/>
      <c r="H109" s="563"/>
      <c r="I109" s="563"/>
      <c r="J109" s="563"/>
      <c r="K109" s="563"/>
      <c r="L109" s="563"/>
      <c r="M109" s="563"/>
      <c r="N109" s="563"/>
      <c r="O109" s="563"/>
      <c r="P109" s="563"/>
      <c r="Q109" s="563"/>
      <c r="R109" s="563"/>
      <c r="S109" s="563"/>
      <c r="T109" s="563"/>
      <c r="U109" s="563"/>
      <c r="V109" s="563"/>
      <c r="W109" s="563"/>
      <c r="X109" s="563"/>
      <c r="Y109" s="563"/>
      <c r="Z109" s="563"/>
      <c r="AA109" s="563"/>
      <c r="AB109" s="563"/>
      <c r="AC109" s="563"/>
      <c r="AD109" s="563"/>
      <c r="AE109" s="563"/>
      <c r="AF109" s="563"/>
      <c r="AG109" s="563"/>
      <c r="AH109" s="563"/>
      <c r="AI109" s="564"/>
      <c r="AJ109" s="564" t="s">
        <v>1332</v>
      </c>
      <c r="AK109" s="2442">
        <f>MAX(AP95,AP106)</f>
        <v>20</v>
      </c>
      <c r="AL109" s="2443"/>
      <c r="AM109" s="2444"/>
      <c r="AN109" s="534"/>
    </row>
    <row r="110" spans="1:47" s="535" customFormat="1" ht="12.75" customHeight="1" thickBot="1">
      <c r="A110" s="565"/>
      <c r="B110" s="566"/>
      <c r="C110" s="567"/>
      <c r="D110" s="567"/>
      <c r="E110" s="567"/>
      <c r="F110" s="567"/>
      <c r="G110" s="567"/>
      <c r="H110" s="567"/>
      <c r="I110" s="567"/>
      <c r="J110" s="567"/>
      <c r="K110" s="567"/>
      <c r="L110" s="567"/>
      <c r="M110" s="567"/>
      <c r="N110" s="567"/>
      <c r="O110" s="567"/>
      <c r="P110" s="567"/>
      <c r="Q110" s="567"/>
      <c r="R110" s="567"/>
      <c r="S110" s="567"/>
      <c r="T110" s="567"/>
      <c r="U110" s="567"/>
      <c r="V110" s="567"/>
      <c r="W110" s="567"/>
      <c r="X110" s="567"/>
      <c r="Y110" s="567"/>
      <c r="Z110" s="567"/>
      <c r="AA110" s="567"/>
      <c r="AB110" s="567"/>
      <c r="AC110" s="567"/>
      <c r="AD110" s="567"/>
      <c r="AE110" s="567"/>
      <c r="AF110" s="567"/>
      <c r="AG110" s="567"/>
      <c r="AH110" s="567"/>
      <c r="AI110" s="567"/>
      <c r="AJ110" s="567"/>
      <c r="AK110" s="567"/>
      <c r="AL110" s="567"/>
      <c r="AM110" s="568"/>
      <c r="AN110" s="534"/>
    </row>
    <row r="111" spans="1:47" s="535" customFormat="1" ht="12.75" customHeight="1" thickTop="1">
      <c r="A111" s="569"/>
      <c r="B111" s="570"/>
      <c r="C111" s="571"/>
      <c r="D111" s="571"/>
      <c r="E111" s="571"/>
      <c r="F111" s="571"/>
      <c r="G111" s="571"/>
      <c r="H111" s="571"/>
      <c r="I111" s="572"/>
      <c r="J111" s="572"/>
      <c r="K111" s="572"/>
      <c r="L111" s="572"/>
      <c r="M111" s="572"/>
      <c r="N111" s="572"/>
      <c r="O111" s="572"/>
      <c r="P111" s="572"/>
      <c r="Q111" s="572"/>
      <c r="R111" s="569"/>
      <c r="S111" s="538"/>
      <c r="T111" s="538"/>
      <c r="U111" s="538"/>
      <c r="V111" s="538"/>
      <c r="W111" s="538"/>
      <c r="X111" s="538"/>
      <c r="Y111" s="538"/>
      <c r="Z111" s="538"/>
      <c r="AA111" s="538"/>
      <c r="AB111" s="538"/>
      <c r="AC111" s="538"/>
      <c r="AD111" s="538"/>
      <c r="AE111" s="538"/>
      <c r="AF111" s="569"/>
      <c r="AG111" s="538"/>
      <c r="AH111" s="538"/>
      <c r="AI111" s="538"/>
      <c r="AJ111" s="538"/>
      <c r="AK111" s="549"/>
      <c r="AL111" s="549"/>
      <c r="AM111" s="549"/>
      <c r="AN111" s="534"/>
    </row>
    <row r="112" spans="1:47" s="535" customFormat="1" ht="12.75" customHeight="1">
      <c r="A112" s="537" t="s">
        <v>1333</v>
      </c>
      <c r="B112" s="538" t="s">
        <v>1334</v>
      </c>
      <c r="C112" s="538"/>
      <c r="D112" s="538"/>
      <c r="E112" s="538"/>
      <c r="F112" s="538"/>
      <c r="G112" s="538"/>
      <c r="H112" s="538"/>
      <c r="I112" s="538"/>
      <c r="J112" s="538"/>
      <c r="K112" s="538"/>
      <c r="L112" s="538"/>
      <c r="M112" s="538"/>
      <c r="N112" s="538"/>
      <c r="O112" s="538"/>
      <c r="P112" s="538"/>
      <c r="Q112" s="538"/>
      <c r="R112" s="538"/>
      <c r="S112" s="538"/>
      <c r="T112" s="538"/>
      <c r="U112" s="538"/>
      <c r="V112" s="538"/>
      <c r="W112" s="538"/>
      <c r="X112" s="538"/>
      <c r="Y112" s="538"/>
      <c r="Z112" s="538"/>
      <c r="AA112" s="538"/>
      <c r="AB112" s="538"/>
      <c r="AC112" s="538"/>
      <c r="AD112" s="538"/>
      <c r="AE112" s="2419" t="s">
        <v>1315</v>
      </c>
      <c r="AF112" s="2419"/>
      <c r="AG112" s="2419"/>
      <c r="AH112" s="2419"/>
      <c r="AI112" s="2419"/>
      <c r="AJ112" s="2419"/>
      <c r="AK112" s="2419"/>
      <c r="AL112" s="539"/>
      <c r="AM112" s="539"/>
      <c r="AN112" s="534"/>
      <c r="AO112" s="535" t="str">
        <f>Application!B718</f>
        <v>SRO/Studio</v>
      </c>
      <c r="AQ112" s="535">
        <f>Application!O718</f>
        <v>721</v>
      </c>
    </row>
    <row r="113" spans="1:52" s="535" customFormat="1" ht="12.75" customHeight="1">
      <c r="A113" s="539"/>
      <c r="B113" s="538" t="s">
        <v>1325</v>
      </c>
      <c r="C113" s="538"/>
      <c r="D113" s="538"/>
      <c r="E113" s="538"/>
      <c r="F113" s="538"/>
      <c r="G113" s="538"/>
      <c r="H113" s="538"/>
      <c r="I113" s="538"/>
      <c r="J113" s="538"/>
      <c r="K113" s="538"/>
      <c r="L113" s="538"/>
      <c r="M113" s="538"/>
      <c r="N113" s="538"/>
      <c r="O113" s="538"/>
      <c r="P113" s="538"/>
      <c r="Q113" s="538"/>
      <c r="R113" s="538"/>
      <c r="S113" s="538"/>
      <c r="T113" s="538"/>
      <c r="U113" s="538"/>
      <c r="V113" s="538"/>
      <c r="W113" s="538"/>
      <c r="X113" s="538"/>
      <c r="Y113" s="538"/>
      <c r="Z113" s="538"/>
      <c r="AA113" s="538"/>
      <c r="AB113" s="538"/>
      <c r="AC113" s="538"/>
      <c r="AD113" s="538"/>
      <c r="AE113" s="542"/>
      <c r="AF113" s="542"/>
      <c r="AG113" s="542"/>
      <c r="AH113" s="542"/>
      <c r="AI113" s="542"/>
      <c r="AJ113" s="542"/>
      <c r="AK113" s="539"/>
      <c r="AL113" s="539"/>
      <c r="AM113" s="539"/>
      <c r="AN113" s="534"/>
      <c r="AO113" s="535" t="str">
        <f>Application!B719</f>
        <v>1 Bedroom</v>
      </c>
      <c r="AQ113" s="535">
        <f>Application!O719</f>
        <v>755</v>
      </c>
    </row>
    <row r="114" spans="1:52" s="535" customFormat="1" ht="12.75" customHeight="1">
      <c r="A114" s="539"/>
      <c r="B114" s="538"/>
      <c r="C114" s="538"/>
      <c r="D114" s="538"/>
      <c r="E114" s="576"/>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39"/>
      <c r="AL114" s="539"/>
      <c r="AM114" s="539"/>
      <c r="AN114" s="534"/>
      <c r="AO114" s="535" t="str">
        <f>Application!B720</f>
        <v>SRO/Studio</v>
      </c>
      <c r="AQ114" s="535">
        <f>Application!O720</f>
        <v>1516</v>
      </c>
    </row>
    <row r="115" spans="1:52" s="535" customFormat="1" ht="12.75" customHeight="1">
      <c r="A115" s="539"/>
      <c r="B115" s="2409" t="s">
        <v>546</v>
      </c>
      <c r="C115" s="2409"/>
      <c r="D115" s="546" t="s">
        <v>1316</v>
      </c>
      <c r="E115" s="2420" t="s">
        <v>1859</v>
      </c>
      <c r="F115" s="2421"/>
      <c r="G115" s="2421"/>
      <c r="H115" s="2421"/>
      <c r="I115" s="2421"/>
      <c r="J115" s="2421"/>
      <c r="K115" s="2421"/>
      <c r="L115" s="2421"/>
      <c r="M115" s="2421"/>
      <c r="N115" s="2421"/>
      <c r="O115" s="2421"/>
      <c r="P115" s="2421"/>
      <c r="Q115" s="2421"/>
      <c r="R115" s="2421"/>
      <c r="S115" s="2421"/>
      <c r="T115" s="2421"/>
      <c r="U115" s="2421"/>
      <c r="V115" s="2421"/>
      <c r="W115" s="2421"/>
      <c r="X115" s="2421"/>
      <c r="Y115" s="2421"/>
      <c r="Z115" s="2421"/>
      <c r="AA115" s="2421"/>
      <c r="AB115" s="2421"/>
      <c r="AC115" s="2421"/>
      <c r="AD115" s="2421"/>
      <c r="AE115" s="2421"/>
      <c r="AF115" s="2421"/>
      <c r="AG115" s="2421"/>
      <c r="AH115" s="2421"/>
      <c r="AI115" s="2421"/>
      <c r="AJ115" s="2422"/>
      <c r="AK115" s="539"/>
      <c r="AL115" s="539"/>
      <c r="AM115" s="539"/>
      <c r="AN115" s="534"/>
      <c r="AO115" s="535" t="str">
        <f>Application!B721</f>
        <v>1 Bedroom</v>
      </c>
      <c r="AQ115" s="535">
        <f>Application!O721</f>
        <v>1607</v>
      </c>
      <c r="AU115" s="535" t="s">
        <v>1841</v>
      </c>
      <c r="AV115" s="594" t="s">
        <v>1842</v>
      </c>
      <c r="AW115" s="535" t="s">
        <v>1843</v>
      </c>
    </row>
    <row r="116" spans="1:52" s="535" customFormat="1" ht="12.75" customHeight="1">
      <c r="A116" s="539"/>
      <c r="B116" s="538"/>
      <c r="C116" s="538"/>
      <c r="D116" s="538"/>
      <c r="E116" s="2423"/>
      <c r="F116" s="2424"/>
      <c r="G116" s="2424"/>
      <c r="H116" s="2424"/>
      <c r="I116" s="2424"/>
      <c r="J116" s="2424"/>
      <c r="K116" s="2424"/>
      <c r="L116" s="2424"/>
      <c r="M116" s="2424"/>
      <c r="N116" s="2424"/>
      <c r="O116" s="2424"/>
      <c r="P116" s="2424"/>
      <c r="Q116" s="2424"/>
      <c r="R116" s="2424"/>
      <c r="S116" s="2424"/>
      <c r="T116" s="2424"/>
      <c r="U116" s="2424"/>
      <c r="V116" s="2424"/>
      <c r="W116" s="2424"/>
      <c r="X116" s="2424"/>
      <c r="Y116" s="2424"/>
      <c r="Z116" s="2424"/>
      <c r="AA116" s="2424"/>
      <c r="AB116" s="2424"/>
      <c r="AC116" s="2424"/>
      <c r="AD116" s="2424"/>
      <c r="AE116" s="2424"/>
      <c r="AF116" s="2424"/>
      <c r="AG116" s="2424"/>
      <c r="AH116" s="2424"/>
      <c r="AI116" s="2424"/>
      <c r="AJ116" s="2425"/>
      <c r="AK116" s="539"/>
      <c r="AL116" s="539"/>
      <c r="AM116" s="539"/>
      <c r="AN116" s="534"/>
      <c r="AO116" s="535">
        <f>Application!B722</f>
        <v>0</v>
      </c>
      <c r="AQ116" s="535">
        <f>Application!O722</f>
        <v>0</v>
      </c>
      <c r="AU116" s="855" t="str">
        <f>E124</f>
        <v>Studio/SRO</v>
      </c>
      <c r="AV116" s="535">
        <f t="array" ref="AV116">SUM(IF(Application!B718:F752="SRO/Studio",Application!G718:J752))</f>
        <v>120</v>
      </c>
      <c r="AW116" s="1010">
        <f>AV116/AV122</f>
        <v>0.80536912751677847</v>
      </c>
    </row>
    <row r="117" spans="1:52" s="535" customFormat="1" ht="12.75" customHeight="1">
      <c r="A117" s="539"/>
      <c r="B117" s="538"/>
      <c r="C117" s="538"/>
      <c r="D117" s="538"/>
      <c r="E117" s="2423"/>
      <c r="F117" s="2424"/>
      <c r="G117" s="2424"/>
      <c r="H117" s="2424"/>
      <c r="I117" s="2424"/>
      <c r="J117" s="2424"/>
      <c r="K117" s="2424"/>
      <c r="L117" s="2424"/>
      <c r="M117" s="2424"/>
      <c r="N117" s="2424"/>
      <c r="O117" s="2424"/>
      <c r="P117" s="2424"/>
      <c r="Q117" s="2424"/>
      <c r="R117" s="2424"/>
      <c r="S117" s="2424"/>
      <c r="T117" s="2424"/>
      <c r="U117" s="2424"/>
      <c r="V117" s="2424"/>
      <c r="W117" s="2424"/>
      <c r="X117" s="2424"/>
      <c r="Y117" s="2424"/>
      <c r="Z117" s="2424"/>
      <c r="AA117" s="2424"/>
      <c r="AB117" s="2424"/>
      <c r="AC117" s="2424"/>
      <c r="AD117" s="2424"/>
      <c r="AE117" s="2424"/>
      <c r="AF117" s="2424"/>
      <c r="AG117" s="2424"/>
      <c r="AH117" s="2424"/>
      <c r="AI117" s="2424"/>
      <c r="AJ117" s="2425"/>
      <c r="AK117" s="539"/>
      <c r="AL117" s="539"/>
      <c r="AM117" s="539"/>
      <c r="AN117" s="534"/>
      <c r="AO117" s="535">
        <f>Application!B723</f>
        <v>0</v>
      </c>
      <c r="AQ117" s="535">
        <f>Application!O723</f>
        <v>0</v>
      </c>
      <c r="AU117" s="855" t="str">
        <f>J124</f>
        <v>1-bedroom</v>
      </c>
      <c r="AV117" s="535">
        <f t="array" ref="AV117">SUM(IF(Application!B718:F752="1 Bedroom",Application!G718:J752))</f>
        <v>29</v>
      </c>
      <c r="AW117" s="1010">
        <f>AV117/AV122</f>
        <v>0.19463087248322147</v>
      </c>
    </row>
    <row r="118" spans="1:52" s="535" customFormat="1" ht="12.75" customHeight="1">
      <c r="A118" s="539"/>
      <c r="B118" s="538"/>
      <c r="C118" s="538"/>
      <c r="D118" s="538"/>
      <c r="E118" s="2423"/>
      <c r="F118" s="2424"/>
      <c r="G118" s="2424"/>
      <c r="H118" s="2424"/>
      <c r="I118" s="2424"/>
      <c r="J118" s="2424"/>
      <c r="K118" s="2424"/>
      <c r="L118" s="2424"/>
      <c r="M118" s="2424"/>
      <c r="N118" s="2424"/>
      <c r="O118" s="2424"/>
      <c r="P118" s="2424"/>
      <c r="Q118" s="2424"/>
      <c r="R118" s="2424"/>
      <c r="S118" s="2424"/>
      <c r="T118" s="2424"/>
      <c r="U118" s="2424"/>
      <c r="V118" s="2424"/>
      <c r="W118" s="2424"/>
      <c r="X118" s="2424"/>
      <c r="Y118" s="2424"/>
      <c r="Z118" s="2424"/>
      <c r="AA118" s="2424"/>
      <c r="AB118" s="2424"/>
      <c r="AC118" s="2424"/>
      <c r="AD118" s="2424"/>
      <c r="AE118" s="2424"/>
      <c r="AF118" s="2424"/>
      <c r="AG118" s="2424"/>
      <c r="AH118" s="2424"/>
      <c r="AI118" s="2424"/>
      <c r="AJ118" s="2425"/>
      <c r="AK118" s="539"/>
      <c r="AL118" s="539"/>
      <c r="AM118" s="539"/>
      <c r="AN118" s="534"/>
      <c r="AO118" s="535">
        <f>Application!B724</f>
        <v>0</v>
      </c>
      <c r="AQ118" s="535">
        <f>Application!O724</f>
        <v>0</v>
      </c>
      <c r="AU118" s="855" t="str">
        <f>O124</f>
        <v>2-bedroom</v>
      </c>
      <c r="AV118" s="535">
        <f t="array" ref="AV118">SUM(IF(Application!B718:F752="2 Bedrooms",Application!G718:J752))</f>
        <v>0</v>
      </c>
      <c r="AW118" s="1010">
        <f>AV118/AV122</f>
        <v>0</v>
      </c>
    </row>
    <row r="119" spans="1:52" s="535" customFormat="1" ht="12.75" customHeight="1">
      <c r="A119" s="539"/>
      <c r="B119" s="538"/>
      <c r="C119" s="538"/>
      <c r="D119" s="538"/>
      <c r="E119" s="2423"/>
      <c r="F119" s="2424"/>
      <c r="G119" s="2424"/>
      <c r="H119" s="2424"/>
      <c r="I119" s="2424"/>
      <c r="J119" s="2424"/>
      <c r="K119" s="2424"/>
      <c r="L119" s="2424"/>
      <c r="M119" s="2424"/>
      <c r="N119" s="2424"/>
      <c r="O119" s="2424"/>
      <c r="P119" s="2424"/>
      <c r="Q119" s="2424"/>
      <c r="R119" s="2424"/>
      <c r="S119" s="2424"/>
      <c r="T119" s="2424"/>
      <c r="U119" s="2424"/>
      <c r="V119" s="2424"/>
      <c r="W119" s="2424"/>
      <c r="X119" s="2424"/>
      <c r="Y119" s="2424"/>
      <c r="Z119" s="2424"/>
      <c r="AA119" s="2424"/>
      <c r="AB119" s="2424"/>
      <c r="AC119" s="2424"/>
      <c r="AD119" s="2424"/>
      <c r="AE119" s="2424"/>
      <c r="AF119" s="2424"/>
      <c r="AG119" s="2424"/>
      <c r="AH119" s="2424"/>
      <c r="AI119" s="2424"/>
      <c r="AJ119" s="2425"/>
      <c r="AK119" s="539"/>
      <c r="AL119" s="539"/>
      <c r="AM119" s="539"/>
      <c r="AN119" s="534"/>
      <c r="AO119" s="535">
        <f>Application!B725</f>
        <v>0</v>
      </c>
      <c r="AQ119" s="535">
        <f>Application!O725</f>
        <v>0</v>
      </c>
      <c r="AU119" s="855" t="str">
        <f>T124</f>
        <v>3-bedroom</v>
      </c>
      <c r="AV119" s="535">
        <f t="array" ref="AV119">SUM(IF(Application!B718:F752="3 Bedrooms",Application!G718:J752))</f>
        <v>0</v>
      </c>
      <c r="AW119" s="1010">
        <f>AV119/AV122</f>
        <v>0</v>
      </c>
    </row>
    <row r="120" spans="1:52" s="535" customFormat="1" ht="12.75" customHeight="1">
      <c r="A120" s="539"/>
      <c r="B120" s="538"/>
      <c r="C120" s="538"/>
      <c r="D120" s="538"/>
      <c r="E120" s="2423"/>
      <c r="F120" s="2424"/>
      <c r="G120" s="2424"/>
      <c r="H120" s="2424"/>
      <c r="I120" s="2424"/>
      <c r="J120" s="2424"/>
      <c r="K120" s="2424"/>
      <c r="L120" s="2424"/>
      <c r="M120" s="2424"/>
      <c r="N120" s="2424"/>
      <c r="O120" s="2424"/>
      <c r="P120" s="2424"/>
      <c r="Q120" s="2424"/>
      <c r="R120" s="2424"/>
      <c r="S120" s="2424"/>
      <c r="T120" s="2424"/>
      <c r="U120" s="2424"/>
      <c r="V120" s="2424"/>
      <c r="W120" s="2424"/>
      <c r="X120" s="2424"/>
      <c r="Y120" s="2424"/>
      <c r="Z120" s="2424"/>
      <c r="AA120" s="2424"/>
      <c r="AB120" s="2424"/>
      <c r="AC120" s="2424"/>
      <c r="AD120" s="2424"/>
      <c r="AE120" s="2424"/>
      <c r="AF120" s="2424"/>
      <c r="AG120" s="2424"/>
      <c r="AH120" s="2424"/>
      <c r="AI120" s="2424"/>
      <c r="AJ120" s="2425"/>
      <c r="AK120" s="539"/>
      <c r="AL120" s="539"/>
      <c r="AM120" s="539"/>
      <c r="AN120" s="534"/>
      <c r="AO120" s="535">
        <f>Application!B726</f>
        <v>0</v>
      </c>
      <c r="AQ120" s="535">
        <f>Application!O726</f>
        <v>0</v>
      </c>
      <c r="AU120" s="855" t="str">
        <f>Y124</f>
        <v>4-bedroom</v>
      </c>
      <c r="AV120" s="535">
        <f t="array" ref="AV120">SUM(IF(Application!B718:F752="4 Bedrooms",Application!G718:J752))</f>
        <v>0</v>
      </c>
      <c r="AW120" s="1010">
        <f>AV120/AV122</f>
        <v>0</v>
      </c>
    </row>
    <row r="121" spans="1:52" s="535" customFormat="1" ht="12.75" customHeight="1">
      <c r="A121" s="539"/>
      <c r="B121" s="538"/>
      <c r="C121" s="538"/>
      <c r="D121" s="538"/>
      <c r="E121" s="2423"/>
      <c r="F121" s="2424"/>
      <c r="G121" s="2424"/>
      <c r="H121" s="2424"/>
      <c r="I121" s="2424"/>
      <c r="J121" s="2424"/>
      <c r="K121" s="2424"/>
      <c r="L121" s="2424"/>
      <c r="M121" s="2424"/>
      <c r="N121" s="2424"/>
      <c r="O121" s="2424"/>
      <c r="P121" s="2424"/>
      <c r="Q121" s="2424"/>
      <c r="R121" s="2424"/>
      <c r="S121" s="2424"/>
      <c r="T121" s="2424"/>
      <c r="U121" s="2424"/>
      <c r="V121" s="2424"/>
      <c r="W121" s="2424"/>
      <c r="X121" s="2424"/>
      <c r="Y121" s="2424"/>
      <c r="Z121" s="2424"/>
      <c r="AA121" s="2424"/>
      <c r="AB121" s="2424"/>
      <c r="AC121" s="2424"/>
      <c r="AD121" s="2424"/>
      <c r="AE121" s="2424"/>
      <c r="AF121" s="2424"/>
      <c r="AG121" s="2424"/>
      <c r="AH121" s="2424"/>
      <c r="AI121" s="2424"/>
      <c r="AJ121" s="2425"/>
      <c r="AK121" s="539"/>
      <c r="AL121" s="539"/>
      <c r="AM121" s="539"/>
      <c r="AN121" s="534"/>
      <c r="AO121" s="535">
        <f>Application!B727</f>
        <v>0</v>
      </c>
      <c r="AQ121" s="535">
        <f>Application!O727</f>
        <v>0</v>
      </c>
      <c r="AU121" s="855" t="str">
        <f>AD124</f>
        <v>5-bedroom</v>
      </c>
      <c r="AV121" s="535">
        <f t="array" ref="AV121">SUM(IF(Application!B718:F752="5 Bedrooms",Application!G718:J752))</f>
        <v>0</v>
      </c>
      <c r="AW121" s="1010">
        <f>AV121/AV122</f>
        <v>0</v>
      </c>
    </row>
    <row r="122" spans="1:52" s="535" customFormat="1" ht="12.75" customHeight="1">
      <c r="A122" s="539"/>
      <c r="B122" s="538"/>
      <c r="C122" s="538"/>
      <c r="D122" s="538"/>
      <c r="E122" s="2423"/>
      <c r="F122" s="2424"/>
      <c r="G122" s="2424"/>
      <c r="H122" s="2424"/>
      <c r="I122" s="2424"/>
      <c r="J122" s="2424"/>
      <c r="K122" s="2424"/>
      <c r="L122" s="2424"/>
      <c r="M122" s="2424"/>
      <c r="N122" s="2424"/>
      <c r="O122" s="2424"/>
      <c r="P122" s="2424"/>
      <c r="Q122" s="2424"/>
      <c r="R122" s="2424"/>
      <c r="S122" s="2424"/>
      <c r="T122" s="2424"/>
      <c r="U122" s="2424"/>
      <c r="V122" s="2424"/>
      <c r="W122" s="2424"/>
      <c r="X122" s="2424"/>
      <c r="Y122" s="2424"/>
      <c r="Z122" s="2424"/>
      <c r="AA122" s="2424"/>
      <c r="AB122" s="2424"/>
      <c r="AC122" s="2424"/>
      <c r="AD122" s="2424"/>
      <c r="AE122" s="2424"/>
      <c r="AF122" s="2424"/>
      <c r="AG122" s="2424"/>
      <c r="AH122" s="2424"/>
      <c r="AI122" s="2424"/>
      <c r="AJ122" s="2425"/>
      <c r="AK122" s="539"/>
      <c r="AL122" s="539"/>
      <c r="AM122" s="539"/>
      <c r="AN122" s="534"/>
      <c r="AO122" s="535">
        <f>Application!B728</f>
        <v>0</v>
      </c>
      <c r="AQ122" s="535">
        <f>Application!O728</f>
        <v>0</v>
      </c>
      <c r="AV122" s="535">
        <f>SUM(AV116:AV121)</f>
        <v>149</v>
      </c>
      <c r="AW122" s="1010">
        <f>SUM(AW116:AW121)</f>
        <v>1</v>
      </c>
    </row>
    <row r="123" spans="1:52" s="535" customFormat="1" ht="12.75" customHeight="1">
      <c r="A123" s="539"/>
      <c r="B123" s="538"/>
      <c r="C123" s="538"/>
      <c r="D123" s="538"/>
      <c r="E123" s="585"/>
      <c r="F123" s="552"/>
      <c r="G123" s="552"/>
      <c r="H123" s="552"/>
      <c r="I123" s="552"/>
      <c r="J123" s="552"/>
      <c r="K123" s="552"/>
      <c r="L123" s="552"/>
      <c r="M123" s="552"/>
      <c r="N123" s="552"/>
      <c r="O123" s="552"/>
      <c r="P123" s="552"/>
      <c r="Q123" s="552"/>
      <c r="R123" s="552"/>
      <c r="S123" s="552"/>
      <c r="T123" s="552"/>
      <c r="U123" s="552"/>
      <c r="V123" s="552"/>
      <c r="W123" s="552"/>
      <c r="X123" s="552"/>
      <c r="Y123" s="552"/>
      <c r="Z123" s="552"/>
      <c r="AA123" s="552"/>
      <c r="AB123" s="552"/>
      <c r="AC123" s="552"/>
      <c r="AD123" s="552"/>
      <c r="AE123" s="552"/>
      <c r="AF123" s="552"/>
      <c r="AG123" s="552"/>
      <c r="AH123" s="552"/>
      <c r="AI123" s="552"/>
      <c r="AJ123" s="553"/>
      <c r="AK123" s="539"/>
      <c r="AL123" s="539"/>
      <c r="AM123" s="539"/>
      <c r="AN123" s="534"/>
      <c r="AO123" s="535">
        <f>Application!B729</f>
        <v>0</v>
      </c>
      <c r="AQ123" s="535">
        <f>Application!O729</f>
        <v>0</v>
      </c>
    </row>
    <row r="124" spans="1:52" s="535" customFormat="1" ht="12.75" customHeight="1">
      <c r="A124" s="539"/>
      <c r="B124" s="538"/>
      <c r="C124" s="539"/>
      <c r="D124" s="539"/>
      <c r="E124" s="2403" t="s">
        <v>1589</v>
      </c>
      <c r="F124" s="2404"/>
      <c r="G124" s="2404"/>
      <c r="H124" s="2404"/>
      <c r="I124" s="576"/>
      <c r="J124" s="2404" t="s">
        <v>1632</v>
      </c>
      <c r="K124" s="2404"/>
      <c r="L124" s="2404"/>
      <c r="M124" s="2404"/>
      <c r="N124" s="576"/>
      <c r="O124" s="2404" t="s">
        <v>1633</v>
      </c>
      <c r="P124" s="2404"/>
      <c r="Q124" s="2404"/>
      <c r="R124" s="2404"/>
      <c r="S124" s="576"/>
      <c r="T124" s="2404" t="s">
        <v>1335</v>
      </c>
      <c r="U124" s="2404"/>
      <c r="V124" s="2404"/>
      <c r="W124" s="2404"/>
      <c r="X124" s="576"/>
      <c r="Y124" s="2404" t="s">
        <v>1634</v>
      </c>
      <c r="Z124" s="2404"/>
      <c r="AA124" s="2404"/>
      <c r="AB124" s="2404"/>
      <c r="AC124" s="576"/>
      <c r="AD124" s="2404" t="s">
        <v>1635</v>
      </c>
      <c r="AE124" s="2404"/>
      <c r="AF124" s="2404"/>
      <c r="AG124" s="2404"/>
      <c r="AH124" s="576"/>
      <c r="AI124" s="576"/>
      <c r="AJ124" s="578"/>
      <c r="AK124" s="539"/>
      <c r="AL124" s="539"/>
      <c r="AM124" s="539"/>
      <c r="AN124" s="534"/>
      <c r="AO124" s="535">
        <f>Application!B730</f>
        <v>0</v>
      </c>
      <c r="AQ124" s="535">
        <f>Application!O730</f>
        <v>0</v>
      </c>
    </row>
    <row r="125" spans="1:52" s="535" customFormat="1" ht="12.75" customHeight="1">
      <c r="A125" s="539"/>
      <c r="B125" s="538"/>
      <c r="C125" s="539"/>
      <c r="D125" s="539"/>
      <c r="E125" s="864"/>
      <c r="F125" s="862"/>
      <c r="G125" s="862"/>
      <c r="H125" s="862"/>
      <c r="I125" s="576"/>
      <c r="J125" s="862"/>
      <c r="K125" s="862"/>
      <c r="L125" s="862"/>
      <c r="M125" s="862"/>
      <c r="N125" s="576"/>
      <c r="O125" s="862"/>
      <c r="P125" s="862"/>
      <c r="Q125" s="862"/>
      <c r="R125" s="862"/>
      <c r="S125" s="576"/>
      <c r="T125" s="862"/>
      <c r="U125" s="862"/>
      <c r="V125" s="862"/>
      <c r="W125" s="862"/>
      <c r="X125" s="576"/>
      <c r="Y125" s="862"/>
      <c r="Z125" s="862"/>
      <c r="AA125" s="862"/>
      <c r="AB125" s="862"/>
      <c r="AC125" s="576"/>
      <c r="AD125" s="862"/>
      <c r="AE125" s="862"/>
      <c r="AF125" s="862"/>
      <c r="AG125" s="862"/>
      <c r="AH125" s="576"/>
      <c r="AI125" s="576"/>
      <c r="AJ125" s="578"/>
      <c r="AK125" s="539"/>
      <c r="AL125" s="539"/>
      <c r="AM125" s="539"/>
      <c r="AN125" s="534"/>
      <c r="AO125" s="535">
        <f>Application!B731</f>
        <v>0</v>
      </c>
      <c r="AQ125" s="535">
        <f>Application!O731</f>
        <v>0</v>
      </c>
    </row>
    <row r="126" spans="1:52" s="535" customFormat="1" ht="12.75" customHeight="1">
      <c r="A126" s="539"/>
      <c r="B126" s="538"/>
      <c r="C126" s="539"/>
      <c r="D126" s="539"/>
      <c r="E126" s="865" t="s">
        <v>1636</v>
      </c>
      <c r="F126" s="862"/>
      <c r="G126" s="862"/>
      <c r="H126" s="862"/>
      <c r="I126" s="576"/>
      <c r="J126" s="862"/>
      <c r="K126" s="862"/>
      <c r="L126" s="862"/>
      <c r="M126" s="862"/>
      <c r="N126" s="576"/>
      <c r="O126" s="862"/>
      <c r="P126" s="862"/>
      <c r="Q126" s="862"/>
      <c r="R126" s="862"/>
      <c r="S126" s="576"/>
      <c r="T126" s="862"/>
      <c r="U126" s="862"/>
      <c r="V126" s="862"/>
      <c r="W126" s="862"/>
      <c r="X126" s="576"/>
      <c r="Y126" s="862"/>
      <c r="Z126" s="862"/>
      <c r="AA126" s="862"/>
      <c r="AB126" s="862"/>
      <c r="AC126" s="576"/>
      <c r="AD126" s="862"/>
      <c r="AE126" s="862"/>
      <c r="AF126" s="862"/>
      <c r="AG126" s="862"/>
      <c r="AH126" s="576"/>
      <c r="AI126" s="576"/>
      <c r="AJ126" s="578"/>
      <c r="AK126" s="539"/>
      <c r="AL126" s="539"/>
      <c r="AM126" s="539"/>
      <c r="AN126" s="534"/>
      <c r="AO126" s="535">
        <f>Application!B732</f>
        <v>0</v>
      </c>
      <c r="AQ126" s="535">
        <f>Application!O732</f>
        <v>0</v>
      </c>
    </row>
    <row r="127" spans="1:52" s="535" customFormat="1" ht="12.75" customHeight="1">
      <c r="A127" s="539"/>
      <c r="B127" s="538"/>
      <c r="C127" s="539"/>
      <c r="D127" s="539"/>
      <c r="E127" s="2463">
        <v>2040</v>
      </c>
      <c r="F127" s="2464"/>
      <c r="G127" s="2464"/>
      <c r="H127" s="2464"/>
      <c r="I127" s="863"/>
      <c r="J127" s="2464">
        <v>2354</v>
      </c>
      <c r="K127" s="2464"/>
      <c r="L127" s="2464"/>
      <c r="M127" s="2464"/>
      <c r="N127" s="863"/>
      <c r="O127" s="2464"/>
      <c r="P127" s="2464"/>
      <c r="Q127" s="2464"/>
      <c r="R127" s="2464"/>
      <c r="S127" s="863"/>
      <c r="T127" s="2464"/>
      <c r="U127" s="2464"/>
      <c r="V127" s="2464"/>
      <c r="W127" s="2464"/>
      <c r="X127" s="863"/>
      <c r="Y127" s="2464"/>
      <c r="Z127" s="2464"/>
      <c r="AA127" s="2464"/>
      <c r="AB127" s="2464"/>
      <c r="AC127" s="863"/>
      <c r="AD127" s="2464"/>
      <c r="AE127" s="2464"/>
      <c r="AF127" s="2464"/>
      <c r="AG127" s="2464"/>
      <c r="AH127" s="576"/>
      <c r="AI127" s="576"/>
      <c r="AJ127" s="578"/>
      <c r="AK127" s="539"/>
      <c r="AL127" s="539"/>
      <c r="AM127" s="539"/>
      <c r="AN127" s="534"/>
      <c r="AO127" s="535">
        <f>Application!B733</f>
        <v>0</v>
      </c>
      <c r="AQ127" s="535">
        <f>Application!O733</f>
        <v>0</v>
      </c>
    </row>
    <row r="128" spans="1:52" s="535" customFormat="1" ht="12.75" customHeight="1">
      <c r="A128" s="539"/>
      <c r="B128" s="538"/>
      <c r="C128" s="539"/>
      <c r="D128" s="539"/>
      <c r="E128" s="864"/>
      <c r="F128" s="862"/>
      <c r="G128" s="862"/>
      <c r="H128" s="862"/>
      <c r="I128" s="576"/>
      <c r="J128" s="862"/>
      <c r="K128" s="862"/>
      <c r="L128" s="862"/>
      <c r="M128" s="862"/>
      <c r="N128" s="576"/>
      <c r="O128" s="862"/>
      <c r="P128" s="862"/>
      <c r="Q128" s="862"/>
      <c r="R128" s="862"/>
      <c r="S128" s="576"/>
      <c r="T128" s="862"/>
      <c r="U128" s="862"/>
      <c r="V128" s="862"/>
      <c r="W128" s="862"/>
      <c r="X128" s="576"/>
      <c r="Y128" s="862"/>
      <c r="Z128" s="862"/>
      <c r="AA128" s="862"/>
      <c r="AB128" s="862"/>
      <c r="AC128" s="576"/>
      <c r="AD128" s="862"/>
      <c r="AE128" s="862"/>
      <c r="AF128" s="862"/>
      <c r="AG128" s="862"/>
      <c r="AH128" s="576"/>
      <c r="AI128" s="576"/>
      <c r="AJ128" s="578"/>
      <c r="AK128" s="539"/>
      <c r="AL128" s="539"/>
      <c r="AM128" s="539"/>
      <c r="AN128" s="534"/>
      <c r="AO128" s="535">
        <f>Application!B734</f>
        <v>0</v>
      </c>
      <c r="AQ128" s="535">
        <f>Application!O734</f>
        <v>0</v>
      </c>
      <c r="AU128" s="1008"/>
      <c r="AV128" s="1008"/>
      <c r="AW128" s="1008"/>
      <c r="AX128" s="1008"/>
      <c r="AY128" s="1008"/>
      <c r="AZ128" s="1008"/>
    </row>
    <row r="129" spans="1:52" s="535" customFormat="1" ht="12.75" customHeight="1">
      <c r="A129" s="539"/>
      <c r="B129" s="538"/>
      <c r="C129" s="539"/>
      <c r="D129" s="539"/>
      <c r="E129" s="865" t="s">
        <v>1845</v>
      </c>
      <c r="F129" s="862"/>
      <c r="G129" s="862"/>
      <c r="H129" s="862"/>
      <c r="I129" s="576"/>
      <c r="J129" s="862"/>
      <c r="K129" s="862"/>
      <c r="L129" s="862"/>
      <c r="M129" s="862"/>
      <c r="N129" s="576"/>
      <c r="O129" s="862"/>
      <c r="P129" s="862"/>
      <c r="Q129" s="862"/>
      <c r="R129" s="862"/>
      <c r="S129" s="576"/>
      <c r="T129" s="862"/>
      <c r="U129" s="862"/>
      <c r="V129" s="862"/>
      <c r="W129" s="862"/>
      <c r="X129" s="576"/>
      <c r="Y129" s="862"/>
      <c r="Z129" s="862"/>
      <c r="AA129" s="862"/>
      <c r="AB129" s="862"/>
      <c r="AC129" s="576"/>
      <c r="AD129" s="862"/>
      <c r="AE129" s="862"/>
      <c r="AF129" s="862"/>
      <c r="AG129" s="862"/>
      <c r="AH129" s="576"/>
      <c r="AI129" s="576"/>
      <c r="AJ129" s="578"/>
      <c r="AK129" s="539"/>
      <c r="AL129" s="539"/>
      <c r="AM129" s="539"/>
      <c r="AN129" s="534"/>
      <c r="AO129" s="535">
        <f>Application!B735</f>
        <v>0</v>
      </c>
      <c r="AQ129" s="535">
        <f>Application!O735</f>
        <v>0</v>
      </c>
      <c r="AU129" s="1008"/>
      <c r="AV129" s="1008"/>
      <c r="AW129" s="1008"/>
      <c r="AX129" s="1008"/>
      <c r="AY129" s="1008"/>
      <c r="AZ129" s="1008"/>
    </row>
    <row r="130" spans="1:52" s="535" customFormat="1" ht="12.75" customHeight="1">
      <c r="A130" s="539"/>
      <c r="B130" s="538"/>
      <c r="C130" s="539"/>
      <c r="D130" s="539"/>
      <c r="E130" s="2456">
        <f>Application!DX670</f>
        <v>1118.5</v>
      </c>
      <c r="F130" s="2457"/>
      <c r="G130" s="2457"/>
      <c r="H130" s="2457"/>
      <c r="I130" s="863"/>
      <c r="J130" s="2457">
        <f>Application!EC670</f>
        <v>1166.3103448275863</v>
      </c>
      <c r="K130" s="2457"/>
      <c r="L130" s="2457"/>
      <c r="M130" s="2457"/>
      <c r="N130" s="863"/>
      <c r="O130" s="2457">
        <f>Application!EH670</f>
        <v>0</v>
      </c>
      <c r="P130" s="2457"/>
      <c r="Q130" s="2457"/>
      <c r="R130" s="2457"/>
      <c r="S130" s="867"/>
      <c r="T130" s="2457">
        <f>Application!EM670</f>
        <v>0</v>
      </c>
      <c r="U130" s="2457"/>
      <c r="V130" s="2457"/>
      <c r="W130" s="2457"/>
      <c r="X130" s="867"/>
      <c r="Y130" s="2457">
        <f>Application!ER670</f>
        <v>0</v>
      </c>
      <c r="Z130" s="2457"/>
      <c r="AA130" s="2457"/>
      <c r="AB130" s="2457"/>
      <c r="AC130" s="867"/>
      <c r="AD130" s="2457">
        <f>Application!EW670</f>
        <v>0</v>
      </c>
      <c r="AE130" s="2457"/>
      <c r="AF130" s="2457"/>
      <c r="AG130" s="2457"/>
      <c r="AH130" s="576"/>
      <c r="AI130" s="576"/>
      <c r="AJ130" s="578"/>
      <c r="AK130" s="539"/>
      <c r="AL130" s="539"/>
      <c r="AM130" s="539"/>
      <c r="AN130" s="534"/>
      <c r="AO130" s="535">
        <f>Application!B736</f>
        <v>0</v>
      </c>
      <c r="AQ130" s="535">
        <f>Application!O736</f>
        <v>0</v>
      </c>
      <c r="AU130" s="1008"/>
      <c r="AV130" s="1008"/>
      <c r="AW130" s="1009"/>
      <c r="AX130" s="1009"/>
      <c r="AY130" s="1008"/>
      <c r="AZ130" s="1008"/>
    </row>
    <row r="131" spans="1:52" s="535" customFormat="1" ht="12.75" customHeight="1">
      <c r="A131" s="539"/>
      <c r="B131" s="538"/>
      <c r="C131" s="539"/>
      <c r="D131" s="539"/>
      <c r="E131" s="866"/>
      <c r="F131" s="862"/>
      <c r="G131" s="862"/>
      <c r="H131" s="862"/>
      <c r="I131" s="576"/>
      <c r="J131" s="579"/>
      <c r="K131" s="576"/>
      <c r="L131" s="576"/>
      <c r="M131" s="576"/>
      <c r="N131" s="576"/>
      <c r="O131" s="576"/>
      <c r="P131" s="576"/>
      <c r="Q131" s="576"/>
      <c r="R131" s="576"/>
      <c r="S131" s="576"/>
      <c r="T131" s="576"/>
      <c r="U131" s="576"/>
      <c r="V131" s="576"/>
      <c r="W131" s="576"/>
      <c r="X131" s="576"/>
      <c r="Y131" s="576"/>
      <c r="Z131" s="576"/>
      <c r="AA131" s="576"/>
      <c r="AB131" s="576"/>
      <c r="AC131" s="576"/>
      <c r="AD131" s="576"/>
      <c r="AE131" s="576"/>
      <c r="AF131" s="576"/>
      <c r="AG131" s="576"/>
      <c r="AH131" s="576"/>
      <c r="AI131" s="576"/>
      <c r="AJ131" s="578"/>
      <c r="AK131" s="539"/>
      <c r="AL131" s="539"/>
      <c r="AM131" s="539"/>
      <c r="AN131" s="534"/>
      <c r="AO131" s="535">
        <f>Application!B737</f>
        <v>0</v>
      </c>
      <c r="AQ131" s="535">
        <f>Application!O737</f>
        <v>0</v>
      </c>
      <c r="AU131" s="1008"/>
      <c r="AV131" s="1008"/>
      <c r="AW131" s="1009"/>
      <c r="AX131" s="1009"/>
      <c r="AY131" s="1008"/>
      <c r="AZ131" s="1008"/>
    </row>
    <row r="132" spans="1:52" s="535" customFormat="1" ht="12.75" customHeight="1">
      <c r="A132" s="539"/>
      <c r="B132" s="538"/>
      <c r="C132" s="539"/>
      <c r="D132" s="539"/>
      <c r="E132" s="865" t="s">
        <v>1846</v>
      </c>
      <c r="F132" s="862"/>
      <c r="G132" s="862"/>
      <c r="H132" s="862"/>
      <c r="I132" s="576"/>
      <c r="J132" s="579"/>
      <c r="K132" s="576"/>
      <c r="L132" s="576"/>
      <c r="M132" s="576"/>
      <c r="N132" s="576"/>
      <c r="O132" s="576"/>
      <c r="P132" s="576"/>
      <c r="Q132" s="576"/>
      <c r="R132" s="576"/>
      <c r="S132" s="576"/>
      <c r="T132" s="576"/>
      <c r="U132" s="576"/>
      <c r="V132" s="576"/>
      <c r="W132" s="576"/>
      <c r="X132" s="576"/>
      <c r="Y132" s="576"/>
      <c r="Z132" s="576"/>
      <c r="AA132" s="576"/>
      <c r="AB132" s="576"/>
      <c r="AC132" s="576"/>
      <c r="AD132" s="576"/>
      <c r="AE132" s="576"/>
      <c r="AF132" s="576"/>
      <c r="AG132" s="576"/>
      <c r="AH132" s="576"/>
      <c r="AI132" s="576"/>
      <c r="AJ132" s="578"/>
      <c r="AK132" s="539"/>
      <c r="AL132" s="539"/>
      <c r="AM132" s="539"/>
      <c r="AN132" s="534"/>
      <c r="AO132" s="535">
        <f>Application!B738</f>
        <v>0</v>
      </c>
      <c r="AQ132" s="535">
        <f>Application!O738</f>
        <v>0</v>
      </c>
      <c r="AU132" s="1008"/>
      <c r="AV132" s="1008"/>
      <c r="AW132" s="1009"/>
      <c r="AX132" s="1009"/>
      <c r="AY132" s="1008"/>
      <c r="AZ132" s="1008"/>
    </row>
    <row r="133" spans="1:52" s="535" customFormat="1" ht="12.75" customHeight="1">
      <c r="A133" s="539"/>
      <c r="B133" s="538"/>
      <c r="C133" s="539"/>
      <c r="D133" s="539"/>
      <c r="E133" s="2655">
        <f>(E127-E130)/E127</f>
        <v>0.45171568627450981</v>
      </c>
      <c r="F133" s="2406"/>
      <c r="G133" s="2406"/>
      <c r="H133" s="2656"/>
      <c r="I133" s="576"/>
      <c r="J133" s="2655">
        <f>(J127-J130)/J127</f>
        <v>0.50454105997128873</v>
      </c>
      <c r="K133" s="2406"/>
      <c r="L133" s="2406"/>
      <c r="M133" s="2656"/>
      <c r="N133" s="576"/>
      <c r="O133" s="2655" t="e">
        <f>(O127-O130)/O127</f>
        <v>#DIV/0!</v>
      </c>
      <c r="P133" s="2406"/>
      <c r="Q133" s="2406"/>
      <c r="R133" s="2656"/>
      <c r="S133" s="576"/>
      <c r="T133" s="2655" t="e">
        <f>(T127-T130)/T127</f>
        <v>#DIV/0!</v>
      </c>
      <c r="U133" s="2406"/>
      <c r="V133" s="2406"/>
      <c r="W133" s="2656"/>
      <c r="X133" s="576"/>
      <c r="Y133" s="2655" t="e">
        <f>(Y127-Y130)/Y127</f>
        <v>#DIV/0!</v>
      </c>
      <c r="Z133" s="2406"/>
      <c r="AA133" s="2406"/>
      <c r="AB133" s="2656"/>
      <c r="AC133" s="576"/>
      <c r="AD133" s="2655" t="e">
        <f>(AD127-AD130)/AD127</f>
        <v>#DIV/0!</v>
      </c>
      <c r="AE133" s="2406"/>
      <c r="AF133" s="2406"/>
      <c r="AG133" s="2656"/>
      <c r="AH133" s="576"/>
      <c r="AI133" s="576"/>
      <c r="AJ133" s="578"/>
      <c r="AK133" s="539"/>
      <c r="AL133" s="539"/>
      <c r="AM133" s="539"/>
      <c r="AN133" s="534"/>
      <c r="AO133" s="535">
        <f>Application!B739</f>
        <v>0</v>
      </c>
      <c r="AQ133" s="535">
        <f>Application!O739</f>
        <v>0</v>
      </c>
      <c r="AU133" s="1008"/>
      <c r="AV133" s="1008"/>
      <c r="AW133" s="1009"/>
      <c r="AX133" s="1009"/>
      <c r="AY133" s="1008"/>
      <c r="AZ133" s="1008"/>
    </row>
    <row r="134" spans="1:52" s="535" customFormat="1" ht="12.75" customHeight="1">
      <c r="A134" s="539"/>
      <c r="B134" s="538"/>
      <c r="C134" s="539"/>
      <c r="D134" s="539"/>
      <c r="E134" s="1003"/>
      <c r="F134" s="1002"/>
      <c r="G134" s="1002"/>
      <c r="H134" s="1002"/>
      <c r="I134" s="576"/>
      <c r="J134" s="1002"/>
      <c r="K134" s="1002"/>
      <c r="L134" s="1002"/>
      <c r="M134" s="1002"/>
      <c r="N134" s="576"/>
      <c r="O134" s="1002"/>
      <c r="P134" s="1002"/>
      <c r="Q134" s="1002"/>
      <c r="R134" s="1002"/>
      <c r="S134" s="576"/>
      <c r="T134" s="1002"/>
      <c r="U134" s="1002"/>
      <c r="V134" s="1002"/>
      <c r="W134" s="1002"/>
      <c r="X134" s="576"/>
      <c r="Y134" s="1002"/>
      <c r="Z134" s="1002"/>
      <c r="AA134" s="1002"/>
      <c r="AB134" s="1002"/>
      <c r="AC134" s="576"/>
      <c r="AD134" s="1002"/>
      <c r="AE134" s="1002"/>
      <c r="AF134" s="1002"/>
      <c r="AG134" s="1002"/>
      <c r="AH134" s="576"/>
      <c r="AI134" s="576"/>
      <c r="AJ134" s="578"/>
      <c r="AK134" s="539"/>
      <c r="AL134" s="539"/>
      <c r="AM134" s="539"/>
      <c r="AN134" s="534"/>
      <c r="AO134" s="535">
        <f>Application!B740</f>
        <v>0</v>
      </c>
      <c r="AQ134" s="535">
        <f>Application!O740</f>
        <v>0</v>
      </c>
      <c r="AU134" s="1008"/>
      <c r="AV134" s="1008"/>
      <c r="AW134" s="1009"/>
      <c r="AX134" s="1009"/>
      <c r="AY134" s="1008"/>
      <c r="AZ134" s="1008"/>
    </row>
    <row r="135" spans="1:52" s="535" customFormat="1" ht="12.75" customHeight="1">
      <c r="A135" s="539"/>
      <c r="B135" s="538"/>
      <c r="C135" s="539"/>
      <c r="D135" s="539"/>
      <c r="E135" s="1004" t="s">
        <v>1847</v>
      </c>
      <c r="F135" s="1002"/>
      <c r="G135" s="1002"/>
      <c r="H135" s="1002"/>
      <c r="I135" s="576"/>
      <c r="J135" s="1002"/>
      <c r="K135" s="1002"/>
      <c r="L135" s="1002"/>
      <c r="M135" s="1002"/>
      <c r="N135" s="576"/>
      <c r="O135" s="1002"/>
      <c r="P135" s="1002"/>
      <c r="Q135" s="1002"/>
      <c r="R135" s="1002"/>
      <c r="S135" s="576"/>
      <c r="T135" s="1002"/>
      <c r="U135" s="1002"/>
      <c r="V135" s="1002"/>
      <c r="W135" s="1002"/>
      <c r="X135" s="576"/>
      <c r="Y135" s="1002"/>
      <c r="Z135" s="1002"/>
      <c r="AA135" s="1002"/>
      <c r="AB135" s="1002"/>
      <c r="AC135" s="576"/>
      <c r="AD135" s="1002"/>
      <c r="AE135" s="1002"/>
      <c r="AF135" s="1002"/>
      <c r="AG135" s="1002"/>
      <c r="AH135" s="576"/>
      <c r="AI135" s="576"/>
      <c r="AJ135" s="578"/>
      <c r="AK135" s="539"/>
      <c r="AL135" s="539"/>
      <c r="AM135" s="539"/>
      <c r="AN135" s="534"/>
      <c r="AO135" s="535">
        <f>Application!B741</f>
        <v>0</v>
      </c>
      <c r="AQ135" s="535">
        <f>Application!O741</f>
        <v>0</v>
      </c>
      <c r="AU135" s="1009"/>
      <c r="AV135" s="1008"/>
      <c r="AW135" s="1009"/>
      <c r="AX135" s="1009"/>
      <c r="AY135" s="1008"/>
      <c r="AZ135" s="1008"/>
    </row>
    <row r="136" spans="1:52" s="535" customFormat="1" ht="12.75" customHeight="1">
      <c r="A136" s="539"/>
      <c r="B136" s="538"/>
      <c r="C136" s="539"/>
      <c r="D136" s="539"/>
      <c r="E136" s="2458">
        <f>IF(((E133-0.1)*AW116)&gt;0,((E133-0.1)*AW116),0)</f>
        <v>0.28326095538886692</v>
      </c>
      <c r="F136" s="2459"/>
      <c r="G136" s="2459"/>
      <c r="H136" s="2460"/>
      <c r="I136" s="576"/>
      <c r="J136" s="2458">
        <f>IF(((J133-0.1)*AW117)&gt;0,((J133-0.1)*AW117),0)</f>
        <v>7.8736179457499153E-2</v>
      </c>
      <c r="K136" s="2459"/>
      <c r="L136" s="2459"/>
      <c r="M136" s="2460"/>
      <c r="N136" s="576"/>
      <c r="O136" s="2458" t="e">
        <f>IF(((O133-0.1)*AW118)&gt;0,((O133-0.1)*AW118),0)</f>
        <v>#DIV/0!</v>
      </c>
      <c r="P136" s="2459"/>
      <c r="Q136" s="2459"/>
      <c r="R136" s="2460"/>
      <c r="S136" s="576"/>
      <c r="T136" s="2458" t="e">
        <f>IF(((T133-0.1)*AW119)&gt;0,((T133-0.1)*AW119),0)</f>
        <v>#DIV/0!</v>
      </c>
      <c r="U136" s="2459"/>
      <c r="V136" s="2459"/>
      <c r="W136" s="2460"/>
      <c r="X136" s="576"/>
      <c r="Y136" s="2458" t="e">
        <f>IF(((Y133-0.1)*AW120)&gt;0,((Y133-0.1)*AW120),0)</f>
        <v>#DIV/0!</v>
      </c>
      <c r="Z136" s="2459"/>
      <c r="AA136" s="2459"/>
      <c r="AB136" s="2460"/>
      <c r="AC136" s="576"/>
      <c r="AD136" s="2458" t="e">
        <f>IF(((AD133-0.1)*AW121)&gt;0,((AD133-0.1)*AW121),0)</f>
        <v>#DIV/0!</v>
      </c>
      <c r="AE136" s="2459"/>
      <c r="AF136" s="2459"/>
      <c r="AG136" s="2460"/>
      <c r="AH136" s="576"/>
      <c r="AI136" s="576"/>
      <c r="AJ136" s="578"/>
      <c r="AK136" s="539"/>
      <c r="AL136" s="539"/>
      <c r="AM136" s="539"/>
      <c r="AN136" s="534"/>
      <c r="AO136" s="535">
        <f>Application!B752</f>
        <v>0</v>
      </c>
      <c r="AQ136" s="535">
        <f>Application!O752</f>
        <v>0</v>
      </c>
      <c r="AU136" s="1008"/>
      <c r="AV136" s="1008"/>
      <c r="AW136" s="1008"/>
      <c r="AX136" s="1009"/>
      <c r="AY136" s="1008"/>
      <c r="AZ136" s="1008"/>
    </row>
    <row r="137" spans="1:52" s="535" customFormat="1" ht="12.75" customHeight="1">
      <c r="A137" s="539"/>
      <c r="B137" s="538"/>
      <c r="C137" s="539"/>
      <c r="D137" s="539"/>
      <c r="E137" s="866"/>
      <c r="F137" s="862"/>
      <c r="G137" s="862"/>
      <c r="H137" s="862"/>
      <c r="I137" s="576"/>
      <c r="J137" s="579"/>
      <c r="K137" s="576"/>
      <c r="L137" s="576"/>
      <c r="M137" s="576"/>
      <c r="N137" s="576"/>
      <c r="O137" s="576"/>
      <c r="P137" s="576"/>
      <c r="Q137" s="576"/>
      <c r="R137" s="576"/>
      <c r="S137" s="576"/>
      <c r="T137" s="576"/>
      <c r="U137" s="576"/>
      <c r="V137" s="576"/>
      <c r="W137" s="576"/>
      <c r="X137" s="576"/>
      <c r="Y137" s="576"/>
      <c r="Z137" s="576"/>
      <c r="AA137" s="576"/>
      <c r="AB137" s="576"/>
      <c r="AC137" s="576"/>
      <c r="AD137" s="576"/>
      <c r="AE137" s="576"/>
      <c r="AF137" s="576"/>
      <c r="AG137" s="576"/>
      <c r="AH137" s="576"/>
      <c r="AI137" s="576"/>
      <c r="AJ137" s="578"/>
      <c r="AK137" s="539"/>
      <c r="AL137" s="539"/>
      <c r="AM137" s="539"/>
      <c r="AN137" s="534"/>
      <c r="AU137" s="1008"/>
      <c r="AV137" s="1008"/>
      <c r="AW137" s="1008"/>
      <c r="AX137" s="1008"/>
      <c r="AY137" s="1008"/>
      <c r="AZ137" s="1008"/>
    </row>
    <row r="138" spans="1:52" s="535" customFormat="1" ht="12.75" customHeight="1">
      <c r="A138" s="539"/>
      <c r="B138" s="538"/>
      <c r="C138" s="539"/>
      <c r="D138" s="539"/>
      <c r="E138" s="2655">
        <f>ROUNDDOWN(SUMIF(E136:AG136,"&gt;0"),2)</f>
        <v>0.36</v>
      </c>
      <c r="F138" s="2406"/>
      <c r="G138" s="2406"/>
      <c r="H138" s="2656"/>
      <c r="I138" s="576"/>
      <c r="J138" s="579" t="s">
        <v>1848</v>
      </c>
      <c r="K138" s="576"/>
      <c r="L138" s="576"/>
      <c r="M138" s="576"/>
      <c r="N138" s="576"/>
      <c r="O138" s="576"/>
      <c r="P138" s="576"/>
      <c r="Q138" s="576"/>
      <c r="R138" s="576"/>
      <c r="S138" s="576"/>
      <c r="T138" s="576"/>
      <c r="U138" s="576"/>
      <c r="V138" s="576"/>
      <c r="W138" s="576"/>
      <c r="X138" s="576"/>
      <c r="Y138" s="576"/>
      <c r="Z138" s="576"/>
      <c r="AA138" s="576"/>
      <c r="AB138" s="576"/>
      <c r="AC138" s="576"/>
      <c r="AD138" s="868"/>
      <c r="AE138" s="868"/>
      <c r="AF138" s="868"/>
      <c r="AG138" s="868"/>
      <c r="AH138" s="576"/>
      <c r="AI138" s="576"/>
      <c r="AJ138" s="578"/>
      <c r="AK138" s="539"/>
      <c r="AL138" s="539"/>
      <c r="AM138" s="539"/>
      <c r="AN138" s="534"/>
      <c r="AU138" s="1008"/>
      <c r="AV138" s="1008"/>
      <c r="AW138" s="1008"/>
      <c r="AX138" s="1009"/>
      <c r="AY138" s="1008"/>
      <c r="AZ138" s="1008"/>
    </row>
    <row r="139" spans="1:52" s="535" customFormat="1" ht="12.75" customHeight="1">
      <c r="A139" s="539"/>
      <c r="B139" s="538"/>
      <c r="C139" s="539"/>
      <c r="D139" s="539"/>
      <c r="E139" s="2442">
        <f>IF((E138*100)&gt;10,10,E138*100)</f>
        <v>10</v>
      </c>
      <c r="F139" s="2443"/>
      <c r="G139" s="2443"/>
      <c r="H139" s="2444"/>
      <c r="I139" s="576"/>
      <c r="J139" s="579" t="s">
        <v>1329</v>
      </c>
      <c r="K139" s="576"/>
      <c r="L139" s="576"/>
      <c r="M139" s="576"/>
      <c r="N139" s="576"/>
      <c r="O139" s="576"/>
      <c r="P139" s="576"/>
      <c r="Q139" s="576"/>
      <c r="R139" s="576"/>
      <c r="S139" s="576"/>
      <c r="T139" s="576"/>
      <c r="U139" s="576"/>
      <c r="V139" s="576"/>
      <c r="W139" s="576"/>
      <c r="X139" s="576"/>
      <c r="Y139" s="576"/>
      <c r="Z139" s="576"/>
      <c r="AA139" s="576"/>
      <c r="AB139" s="576"/>
      <c r="AC139" s="576"/>
      <c r="AD139" s="576"/>
      <c r="AE139" s="576"/>
      <c r="AF139" s="576"/>
      <c r="AG139" s="576"/>
      <c r="AH139" s="576"/>
      <c r="AI139" s="576"/>
      <c r="AJ139" s="578"/>
      <c r="AK139" s="539"/>
      <c r="AL139" s="539"/>
      <c r="AM139" s="539"/>
      <c r="AN139" s="534"/>
      <c r="AU139" s="1008"/>
      <c r="AV139" s="1008"/>
      <c r="AW139" s="1008"/>
      <c r="AX139" s="1008"/>
      <c r="AY139" s="1008"/>
      <c r="AZ139" s="1008"/>
    </row>
    <row r="140" spans="1:52" s="535" customFormat="1" ht="12.75" customHeight="1">
      <c r="A140" s="539"/>
      <c r="B140" s="539"/>
      <c r="C140" s="539"/>
      <c r="D140" s="539"/>
      <c r="E140" s="587"/>
      <c r="F140" s="588"/>
      <c r="G140" s="588"/>
      <c r="H140" s="588"/>
      <c r="I140" s="588"/>
      <c r="J140" s="588"/>
      <c r="K140" s="588"/>
      <c r="L140" s="588"/>
      <c r="M140" s="588"/>
      <c r="N140" s="588"/>
      <c r="O140" s="588"/>
      <c r="P140" s="588"/>
      <c r="Q140" s="588"/>
      <c r="R140" s="588"/>
      <c r="S140" s="588"/>
      <c r="T140" s="588"/>
      <c r="U140" s="588"/>
      <c r="V140" s="588"/>
      <c r="W140" s="588"/>
      <c r="X140" s="588"/>
      <c r="Y140" s="588"/>
      <c r="Z140" s="588"/>
      <c r="AA140" s="588"/>
      <c r="AB140" s="588"/>
      <c r="AC140" s="588"/>
      <c r="AD140" s="588"/>
      <c r="AE140" s="588"/>
      <c r="AF140" s="588"/>
      <c r="AG140" s="588"/>
      <c r="AH140" s="588"/>
      <c r="AI140" s="588"/>
      <c r="AJ140" s="589"/>
      <c r="AK140" s="539"/>
      <c r="AL140" s="539"/>
      <c r="AM140" s="539"/>
      <c r="AN140" s="534"/>
      <c r="AT140" s="1001"/>
      <c r="AU140" s="1008"/>
      <c r="AV140" s="1008"/>
      <c r="AW140" s="1009"/>
      <c r="AX140" s="1008"/>
      <c r="AY140" s="1008"/>
      <c r="AZ140" s="1008"/>
    </row>
    <row r="141" spans="1:52" s="535" customFormat="1" ht="12.75" customHeight="1">
      <c r="A141" s="539"/>
      <c r="B141" s="539"/>
      <c r="C141" s="539"/>
      <c r="D141" s="539"/>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c r="AA141" s="539"/>
      <c r="AB141" s="539"/>
      <c r="AC141" s="539"/>
      <c r="AD141" s="539"/>
      <c r="AE141" s="539"/>
      <c r="AF141" s="539"/>
      <c r="AG141" s="539"/>
      <c r="AH141" s="539"/>
      <c r="AI141" s="539"/>
      <c r="AJ141" s="539"/>
      <c r="AK141" s="539"/>
      <c r="AL141" s="539"/>
      <c r="AM141" s="539"/>
      <c r="AN141" s="534"/>
      <c r="AU141" s="1008"/>
      <c r="AV141" s="1008"/>
      <c r="AW141" s="1008"/>
      <c r="AX141" s="1008"/>
      <c r="AY141" s="1008"/>
      <c r="AZ141" s="1008"/>
    </row>
    <row r="142" spans="1:52" s="535" customFormat="1" ht="12.75" customHeight="1">
      <c r="A142" s="539"/>
      <c r="B142" s="539"/>
      <c r="C142" s="539"/>
      <c r="D142" s="539"/>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c r="AA142" s="539"/>
      <c r="AB142" s="539"/>
      <c r="AC142" s="539"/>
      <c r="AD142" s="539"/>
      <c r="AE142" s="539"/>
      <c r="AF142" s="539"/>
      <c r="AG142" s="539"/>
      <c r="AH142" s="539"/>
      <c r="AI142" s="539"/>
      <c r="AJ142" s="539"/>
      <c r="AK142" s="539"/>
      <c r="AL142" s="539"/>
      <c r="AM142" s="539"/>
      <c r="AN142" s="534"/>
    </row>
    <row r="143" spans="1:52" s="535" customFormat="1" ht="12.75" customHeight="1">
      <c r="A143" s="560"/>
      <c r="B143" s="561"/>
      <c r="C143" s="561"/>
      <c r="D143" s="561"/>
      <c r="E143" s="561"/>
      <c r="F143" s="561"/>
      <c r="G143" s="562"/>
      <c r="H143" s="563"/>
      <c r="I143" s="563"/>
      <c r="J143" s="563"/>
      <c r="K143" s="563"/>
      <c r="L143" s="563"/>
      <c r="M143" s="563"/>
      <c r="N143" s="563"/>
      <c r="O143" s="563"/>
      <c r="P143" s="563"/>
      <c r="Q143" s="563"/>
      <c r="R143" s="563"/>
      <c r="S143" s="563"/>
      <c r="T143" s="563"/>
      <c r="U143" s="563"/>
      <c r="V143" s="563"/>
      <c r="W143" s="563"/>
      <c r="X143" s="563"/>
      <c r="Y143" s="563"/>
      <c r="Z143" s="563"/>
      <c r="AA143" s="563"/>
      <c r="AB143" s="563"/>
      <c r="AC143" s="563"/>
      <c r="AD143" s="563"/>
      <c r="AE143" s="563"/>
      <c r="AF143" s="563"/>
      <c r="AG143" s="563"/>
      <c r="AH143" s="563"/>
      <c r="AI143" s="564"/>
      <c r="AJ143" s="564" t="s">
        <v>1336</v>
      </c>
      <c r="AK143" s="2442">
        <f>E139</f>
        <v>10</v>
      </c>
      <c r="AL143" s="2443"/>
      <c r="AM143" s="2444"/>
      <c r="AN143" s="534"/>
    </row>
    <row r="144" spans="1:52" s="535" customFormat="1" ht="12.75" customHeight="1" thickBot="1">
      <c r="A144" s="565"/>
      <c r="B144" s="566"/>
      <c r="C144" s="567"/>
      <c r="D144" s="567"/>
      <c r="E144" s="567"/>
      <c r="F144" s="567"/>
      <c r="G144" s="567"/>
      <c r="H144" s="567"/>
      <c r="I144" s="567"/>
      <c r="J144" s="567"/>
      <c r="K144" s="567"/>
      <c r="L144" s="567"/>
      <c r="M144" s="567"/>
      <c r="N144" s="567"/>
      <c r="O144" s="567"/>
      <c r="P144" s="567"/>
      <c r="Q144" s="567"/>
      <c r="R144" s="567"/>
      <c r="S144" s="567"/>
      <c r="T144" s="567"/>
      <c r="U144" s="567"/>
      <c r="V144" s="567"/>
      <c r="W144" s="567"/>
      <c r="X144" s="567"/>
      <c r="Y144" s="567"/>
      <c r="Z144" s="567"/>
      <c r="AA144" s="567"/>
      <c r="AB144" s="567"/>
      <c r="AC144" s="567"/>
      <c r="AD144" s="567"/>
      <c r="AE144" s="567"/>
      <c r="AF144" s="567"/>
      <c r="AG144" s="567"/>
      <c r="AH144" s="567"/>
      <c r="AI144" s="567"/>
      <c r="AJ144" s="567"/>
      <c r="AK144" s="567"/>
      <c r="AL144" s="567"/>
      <c r="AM144" s="568"/>
      <c r="AN144" s="534"/>
    </row>
    <row r="145" spans="1:42" s="535" customFormat="1" ht="12.75" customHeight="1" thickTop="1">
      <c r="A145" s="569"/>
      <c r="B145" s="570"/>
      <c r="C145" s="571"/>
      <c r="D145" s="571"/>
      <c r="E145" s="571"/>
      <c r="F145" s="571"/>
      <c r="G145" s="571"/>
      <c r="H145" s="571"/>
      <c r="I145" s="572"/>
      <c r="J145" s="572"/>
      <c r="K145" s="572"/>
      <c r="L145" s="572"/>
      <c r="M145" s="572"/>
      <c r="N145" s="572"/>
      <c r="O145" s="572"/>
      <c r="P145" s="572"/>
      <c r="Q145" s="572"/>
      <c r="R145" s="569"/>
      <c r="S145" s="538"/>
      <c r="T145" s="538"/>
      <c r="U145" s="538"/>
      <c r="V145" s="538"/>
      <c r="W145" s="538"/>
      <c r="X145" s="538"/>
      <c r="Y145" s="538"/>
      <c r="Z145" s="538"/>
      <c r="AA145" s="538"/>
      <c r="AB145" s="538"/>
      <c r="AC145" s="538"/>
      <c r="AD145" s="538"/>
      <c r="AE145" s="538"/>
      <c r="AF145" s="569"/>
      <c r="AG145" s="538"/>
      <c r="AH145" s="538"/>
      <c r="AI145" s="538"/>
      <c r="AJ145" s="538"/>
      <c r="AK145" s="549"/>
      <c r="AL145" s="549"/>
      <c r="AM145" s="549"/>
      <c r="AN145" s="534"/>
    </row>
    <row r="146" spans="1:42" s="538" customFormat="1" ht="12.75" customHeight="1">
      <c r="A146" s="537" t="s">
        <v>1337</v>
      </c>
      <c r="AE146" s="2419" t="s">
        <v>1315</v>
      </c>
      <c r="AF146" s="2419"/>
      <c r="AG146" s="2419"/>
      <c r="AH146" s="2419"/>
      <c r="AI146" s="2419"/>
      <c r="AJ146" s="2419"/>
      <c r="AK146" s="2419"/>
      <c r="AL146" s="590"/>
      <c r="AN146" s="591"/>
      <c r="AO146" s="535"/>
    </row>
    <row r="147" spans="1:42" s="538" customFormat="1" ht="12.95" customHeight="1">
      <c r="A147" s="537"/>
      <c r="AE147" s="590"/>
      <c r="AF147" s="590"/>
      <c r="AG147" s="590"/>
      <c r="AH147" s="590"/>
      <c r="AI147" s="590"/>
      <c r="AJ147" s="590"/>
      <c r="AK147" s="590"/>
      <c r="AL147" s="590"/>
      <c r="AN147" s="591"/>
    </row>
    <row r="148" spans="1:42" s="535" customFormat="1" ht="12.75" customHeight="1">
      <c r="A148" s="537"/>
      <c r="B148" s="537" t="s">
        <v>1338</v>
      </c>
      <c r="C148" s="538"/>
      <c r="D148" s="538"/>
      <c r="E148" s="538"/>
      <c r="F148" s="538"/>
      <c r="G148" s="538"/>
      <c r="H148" s="538"/>
      <c r="I148" s="538"/>
      <c r="J148" s="538"/>
      <c r="K148" s="538"/>
      <c r="L148" s="538"/>
      <c r="M148" s="538"/>
      <c r="N148" s="538"/>
      <c r="O148" s="538"/>
      <c r="P148" s="538"/>
      <c r="Q148" s="538"/>
      <c r="R148" s="538"/>
      <c r="S148" s="538"/>
      <c r="T148" s="538"/>
      <c r="U148" s="538"/>
      <c r="V148" s="538"/>
      <c r="W148" s="538"/>
      <c r="X148" s="538"/>
      <c r="Y148" s="538"/>
      <c r="Z148" s="538"/>
      <c r="AA148" s="538"/>
      <c r="AB148" s="538"/>
      <c r="AC148" s="538"/>
      <c r="AD148" s="538"/>
      <c r="AF148" s="2454" t="s">
        <v>1339</v>
      </c>
      <c r="AG148" s="2454"/>
      <c r="AH148" s="2454"/>
      <c r="AI148" s="2454"/>
      <c r="AJ148" s="2454"/>
      <c r="AK148" s="2454"/>
      <c r="AL148" s="2454"/>
      <c r="AM148" s="538"/>
      <c r="AN148" s="534"/>
    </row>
    <row r="149" spans="1:42" s="535" customFormat="1" ht="12.75" customHeight="1">
      <c r="A149" s="537"/>
      <c r="B149" s="537" t="s">
        <v>533</v>
      </c>
      <c r="C149" s="604"/>
      <c r="D149" s="604"/>
      <c r="E149" s="604"/>
      <c r="F149" s="604"/>
      <c r="G149" s="604"/>
      <c r="H149" s="604"/>
      <c r="I149" s="604"/>
      <c r="J149" s="604"/>
      <c r="K149" s="604"/>
      <c r="L149" s="604"/>
      <c r="M149" s="604"/>
      <c r="N149" s="604"/>
      <c r="O149" s="604"/>
      <c r="P149" s="604"/>
      <c r="Q149" s="604"/>
      <c r="R149" s="604"/>
      <c r="S149" s="604"/>
      <c r="T149" s="604"/>
      <c r="U149" s="604"/>
      <c r="V149" s="604"/>
      <c r="W149" s="604"/>
      <c r="X149" s="604"/>
      <c r="Y149" s="604"/>
      <c r="Z149" s="604"/>
      <c r="AA149" s="604"/>
      <c r="AB149" s="604"/>
      <c r="AC149" s="604"/>
      <c r="AD149" s="538"/>
      <c r="AL149" s="593"/>
      <c r="AM149" s="538"/>
      <c r="AN149" s="534"/>
    </row>
    <row r="150" spans="1:42" s="535" customFormat="1" ht="15" customHeight="1">
      <c r="A150" s="537"/>
      <c r="B150" s="2455" t="s">
        <v>2613</v>
      </c>
      <c r="C150" s="2455"/>
      <c r="D150" s="2455"/>
      <c r="E150" s="2455"/>
      <c r="F150" s="2455"/>
      <c r="G150" s="2455"/>
      <c r="H150" s="2455"/>
      <c r="I150" s="2455"/>
      <c r="J150" s="2455"/>
      <c r="K150" s="2455"/>
      <c r="L150" s="2455"/>
      <c r="M150" s="2455"/>
      <c r="N150" s="2455"/>
      <c r="O150" s="2455"/>
      <c r="P150" s="2455"/>
      <c r="Q150" s="2455"/>
      <c r="R150" s="2455"/>
      <c r="S150" s="2455"/>
      <c r="T150" s="2455"/>
      <c r="U150" s="2455"/>
      <c r="V150" s="2455"/>
      <c r="W150" s="2455"/>
      <c r="X150" s="2455"/>
      <c r="Y150" s="2455"/>
      <c r="Z150" s="2455"/>
      <c r="AA150" s="2455"/>
      <c r="AB150" s="2455"/>
      <c r="AC150" s="2455"/>
      <c r="AD150" s="538"/>
      <c r="AE150" s="593"/>
      <c r="AF150" s="593"/>
      <c r="AG150" s="593"/>
      <c r="AH150" s="593"/>
      <c r="AI150" s="593"/>
      <c r="AJ150" s="593"/>
      <c r="AK150" s="593"/>
      <c r="AL150" s="593"/>
      <c r="AM150" s="538"/>
      <c r="AN150" s="534"/>
      <c r="AP150" s="594"/>
    </row>
    <row r="151" spans="1:42" s="535" customFormat="1" ht="12.75" customHeight="1">
      <c r="A151" s="537"/>
      <c r="B151" s="537"/>
      <c r="C151" s="538"/>
      <c r="D151" s="538"/>
      <c r="E151" s="538"/>
      <c r="F151" s="538"/>
      <c r="G151" s="538"/>
      <c r="H151" s="538"/>
      <c r="I151" s="538"/>
      <c r="J151" s="538"/>
      <c r="K151" s="538"/>
      <c r="L151" s="538"/>
      <c r="M151" s="538"/>
      <c r="N151" s="538"/>
      <c r="O151" s="538"/>
      <c r="P151" s="538"/>
      <c r="Q151" s="538"/>
      <c r="R151" s="538"/>
      <c r="S151" s="538"/>
      <c r="T151" s="538"/>
      <c r="U151" s="538"/>
      <c r="V151" s="538"/>
      <c r="W151" s="538"/>
      <c r="X151" s="538"/>
      <c r="Y151" s="538"/>
      <c r="Z151" s="538"/>
      <c r="AA151" s="538"/>
      <c r="AB151" s="538"/>
      <c r="AC151" s="538"/>
      <c r="AD151" s="538"/>
      <c r="AE151" s="593"/>
      <c r="AF151" s="593"/>
      <c r="AG151" s="593"/>
      <c r="AH151" s="593"/>
      <c r="AI151" s="593"/>
      <c r="AJ151" s="593"/>
      <c r="AK151" s="593"/>
      <c r="AL151" s="593"/>
      <c r="AM151" s="538"/>
      <c r="AN151" s="534"/>
      <c r="AO151" s="446" t="s">
        <v>307</v>
      </c>
      <c r="AP151" s="544"/>
    </row>
    <row r="152" spans="1:42" s="535" customFormat="1" ht="12.75" customHeight="1">
      <c r="A152" s="537"/>
      <c r="B152" s="538" t="s">
        <v>1340</v>
      </c>
      <c r="C152" s="538"/>
      <c r="D152" s="538"/>
      <c r="E152" s="538"/>
      <c r="F152" s="538"/>
      <c r="G152" s="538"/>
      <c r="H152" s="538"/>
      <c r="I152" s="538"/>
      <c r="J152" s="538"/>
      <c r="K152" s="538"/>
      <c r="L152" s="538"/>
      <c r="M152" s="538"/>
      <c r="N152" s="538"/>
      <c r="O152" s="538"/>
      <c r="P152" s="538"/>
      <c r="Q152" s="538"/>
      <c r="R152" s="538"/>
      <c r="S152" s="538"/>
      <c r="T152" s="538"/>
      <c r="U152" s="538"/>
      <c r="V152" s="538"/>
      <c r="W152" s="538"/>
      <c r="X152" s="538"/>
      <c r="Y152" s="538"/>
      <c r="Z152" s="538"/>
      <c r="AA152" s="538"/>
      <c r="AB152" s="538"/>
      <c r="AC152" s="538"/>
      <c r="AD152" s="538"/>
      <c r="AE152" s="538"/>
      <c r="AF152" s="538"/>
      <c r="AG152" s="538"/>
      <c r="AH152" s="538"/>
      <c r="AI152" s="538"/>
      <c r="AJ152" s="538"/>
      <c r="AK152" s="538"/>
      <c r="AL152" s="538"/>
      <c r="AM152" s="538"/>
      <c r="AN152" s="534"/>
      <c r="AO152" s="475" t="s">
        <v>1341</v>
      </c>
      <c r="AP152" s="488">
        <v>5</v>
      </c>
    </row>
    <row r="153" spans="1:42" s="535" customFormat="1" ht="12.75" customHeight="1">
      <c r="A153" s="537"/>
      <c r="B153" s="2481" t="s">
        <v>1342</v>
      </c>
      <c r="C153" s="2481"/>
      <c r="D153" s="2481"/>
      <c r="E153" s="2481"/>
      <c r="F153" s="2481"/>
      <c r="G153" s="2481"/>
      <c r="H153" s="2481"/>
      <c r="I153" s="2481"/>
      <c r="J153" s="2481"/>
      <c r="K153" s="2481"/>
      <c r="L153" s="2481"/>
      <c r="M153" s="2481"/>
      <c r="N153" s="2481"/>
      <c r="O153" s="2481"/>
      <c r="P153" s="2481"/>
      <c r="Q153" s="2481"/>
      <c r="R153" s="2481"/>
      <c r="S153" s="2481"/>
      <c r="T153" s="2481"/>
      <c r="U153" s="2481"/>
      <c r="V153" s="2481"/>
      <c r="W153" s="2481"/>
      <c r="X153" s="2481"/>
      <c r="Y153" s="2481"/>
      <c r="Z153" s="2481"/>
      <c r="AA153" s="2481"/>
      <c r="AB153" s="2481"/>
      <c r="AC153" s="2481"/>
      <c r="AD153" s="2481"/>
      <c r="AE153" s="2481"/>
      <c r="AF153" s="2481"/>
      <c r="AG153" s="2481"/>
      <c r="AH153" s="2481"/>
      <c r="AI153" s="2481"/>
      <c r="AM153" s="538"/>
      <c r="AN153" s="534"/>
      <c r="AO153" s="475" t="s">
        <v>1342</v>
      </c>
      <c r="AP153" s="488">
        <v>7</v>
      </c>
    </row>
    <row r="154" spans="1:42" s="535" customFormat="1" ht="12.95" customHeight="1">
      <c r="A154" s="537"/>
      <c r="B154" s="604"/>
      <c r="C154" s="604"/>
      <c r="D154" s="604"/>
      <c r="E154" s="604"/>
      <c r="F154" s="604"/>
      <c r="G154" s="604"/>
      <c r="H154" s="604"/>
      <c r="I154" s="604"/>
      <c r="J154" s="604"/>
      <c r="K154" s="604"/>
      <c r="L154" s="604"/>
      <c r="M154" s="604"/>
      <c r="N154" s="604"/>
      <c r="O154" s="604"/>
      <c r="P154" s="604"/>
      <c r="Q154" s="604"/>
      <c r="R154" s="604"/>
      <c r="S154" s="604"/>
      <c r="T154" s="604"/>
      <c r="U154" s="604"/>
      <c r="V154" s="604"/>
      <c r="W154" s="604"/>
      <c r="X154" s="604"/>
      <c r="Y154" s="604"/>
      <c r="Z154" s="604"/>
      <c r="AA154" s="604"/>
      <c r="AB154" s="604"/>
      <c r="AC154" s="604"/>
      <c r="AD154" s="590"/>
      <c r="AM154" s="538"/>
      <c r="AN154" s="534"/>
      <c r="AO154" s="475" t="s">
        <v>2255</v>
      </c>
      <c r="AP154" s="488">
        <v>7</v>
      </c>
    </row>
    <row r="155" spans="1:42" s="535" customFormat="1" ht="12.75" customHeight="1">
      <c r="A155" s="537"/>
      <c r="B155" s="538" t="s">
        <v>1343</v>
      </c>
      <c r="AB155" s="2482" t="s">
        <v>546</v>
      </c>
      <c r="AC155" s="2482"/>
      <c r="AD155" s="590"/>
      <c r="AM155" s="538"/>
      <c r="AN155" s="534"/>
      <c r="AO155" s="475"/>
      <c r="AP155" s="475"/>
    </row>
    <row r="156" spans="1:42" s="535" customFormat="1" ht="9" customHeight="1">
      <c r="A156" s="537"/>
      <c r="B156" s="604"/>
      <c r="C156" s="604"/>
      <c r="D156" s="604"/>
      <c r="E156" s="604"/>
      <c r="F156" s="604"/>
      <c r="G156" s="604"/>
      <c r="H156" s="604"/>
      <c r="I156" s="604"/>
      <c r="J156" s="604"/>
      <c r="K156" s="604"/>
      <c r="L156" s="604"/>
      <c r="M156" s="604"/>
      <c r="N156" s="604"/>
      <c r="O156" s="604"/>
      <c r="P156" s="604"/>
      <c r="Q156" s="604"/>
      <c r="R156" s="604"/>
      <c r="S156" s="604"/>
      <c r="T156" s="604"/>
      <c r="U156" s="604"/>
      <c r="V156" s="604"/>
      <c r="W156" s="604"/>
      <c r="X156" s="604"/>
      <c r="Y156" s="604"/>
      <c r="Z156" s="604"/>
      <c r="AA156" s="604"/>
      <c r="AB156" s="604"/>
      <c r="AC156" s="604"/>
      <c r="AD156" s="590"/>
      <c r="AM156" s="538"/>
      <c r="AN156" s="534"/>
      <c r="AO156" s="446" t="s">
        <v>1344</v>
      </c>
      <c r="AP156" s="488"/>
    </row>
    <row r="157" spans="1:42" s="535" customFormat="1" ht="12.75" customHeight="1">
      <c r="A157" s="537"/>
      <c r="B157" s="537" t="s">
        <v>1345</v>
      </c>
      <c r="C157" s="604"/>
      <c r="D157" s="604"/>
      <c r="E157" s="604"/>
      <c r="F157" s="604"/>
      <c r="G157" s="604"/>
      <c r="H157" s="604"/>
      <c r="I157" s="604"/>
      <c r="J157" s="604"/>
      <c r="K157" s="604"/>
      <c r="L157" s="604"/>
      <c r="M157" s="604"/>
      <c r="N157" s="604"/>
      <c r="O157" s="604"/>
      <c r="P157" s="604"/>
      <c r="Q157" s="604"/>
      <c r="R157" s="604"/>
      <c r="S157" s="604"/>
      <c r="T157" s="604"/>
      <c r="U157" s="604"/>
      <c r="V157" s="604"/>
      <c r="W157" s="604"/>
      <c r="X157" s="604"/>
      <c r="Y157" s="604"/>
      <c r="Z157" s="604"/>
      <c r="AA157" s="604"/>
      <c r="AB157" s="604"/>
      <c r="AC157" s="604"/>
      <c r="AD157" s="590"/>
      <c r="AM157" s="538"/>
      <c r="AN157" s="534"/>
      <c r="AO157" s="475" t="s">
        <v>1346</v>
      </c>
      <c r="AP157" s="488">
        <v>5</v>
      </c>
    </row>
    <row r="158" spans="1:42" s="535" customFormat="1" ht="12.75" customHeight="1">
      <c r="A158" s="537"/>
      <c r="B158" s="2481" t="s">
        <v>1347</v>
      </c>
      <c r="C158" s="2481"/>
      <c r="D158" s="2481"/>
      <c r="E158" s="2481"/>
      <c r="F158" s="2481"/>
      <c r="G158" s="2481"/>
      <c r="H158" s="2481"/>
      <c r="I158" s="2481"/>
      <c r="J158" s="2481"/>
      <c r="K158" s="2481"/>
      <c r="L158" s="2481"/>
      <c r="M158" s="2481"/>
      <c r="N158" s="2481"/>
      <c r="O158" s="2481"/>
      <c r="P158" s="2481"/>
      <c r="Q158" s="2481"/>
      <c r="R158" s="2481"/>
      <c r="S158" s="2481"/>
      <c r="T158" s="2481"/>
      <c r="U158" s="2481"/>
      <c r="V158" s="2481"/>
      <c r="W158" s="2481"/>
      <c r="X158" s="2481"/>
      <c r="Y158" s="2481"/>
      <c r="Z158" s="2481"/>
      <c r="AA158" s="2481"/>
      <c r="AB158" s="2481"/>
      <c r="AC158" s="2481"/>
      <c r="AD158" s="2481"/>
      <c r="AE158" s="2481"/>
      <c r="AF158" s="2481"/>
      <c r="AG158" s="2481"/>
      <c r="AH158" s="2481"/>
      <c r="AI158" s="2481"/>
      <c r="AJ158" s="2481"/>
      <c r="AN158" s="534"/>
      <c r="AO158" s="475" t="s">
        <v>1347</v>
      </c>
      <c r="AP158" s="488">
        <v>7</v>
      </c>
    </row>
    <row r="159" spans="1:42" s="535" customFormat="1" ht="12.75" customHeight="1">
      <c r="B159" s="538" t="s">
        <v>1348</v>
      </c>
      <c r="C159" s="604"/>
      <c r="D159" s="604"/>
      <c r="E159" s="604"/>
      <c r="F159" s="604"/>
      <c r="G159" s="604"/>
      <c r="H159" s="604"/>
      <c r="I159" s="604"/>
      <c r="J159" s="604"/>
      <c r="K159" s="604"/>
      <c r="L159" s="604"/>
      <c r="M159" s="604"/>
      <c r="N159" s="604"/>
      <c r="O159" s="604"/>
      <c r="P159" s="604"/>
      <c r="Q159" s="604"/>
      <c r="R159" s="604"/>
      <c r="S159" s="604"/>
      <c r="T159" s="604"/>
      <c r="U159" s="604"/>
      <c r="AM159" s="538"/>
      <c r="AN159" s="534"/>
      <c r="AO159" s="475"/>
      <c r="AP159" s="488"/>
    </row>
    <row r="160" spans="1:42" s="535" customFormat="1" ht="12.75" customHeight="1">
      <c r="B160" s="538"/>
      <c r="C160" s="604"/>
      <c r="D160" s="604"/>
      <c r="E160" s="604"/>
      <c r="F160" s="604"/>
      <c r="G160" s="604"/>
      <c r="H160" s="604"/>
      <c r="I160" s="604"/>
      <c r="J160" s="604"/>
      <c r="K160" s="604"/>
      <c r="L160" s="604"/>
      <c r="M160" s="604"/>
      <c r="N160" s="604"/>
      <c r="O160" s="604"/>
      <c r="P160" s="604"/>
      <c r="Q160" s="604"/>
      <c r="R160" s="604"/>
      <c r="S160" s="604"/>
      <c r="T160" s="604"/>
      <c r="U160" s="604"/>
      <c r="AM160" s="538"/>
      <c r="AN160" s="534"/>
      <c r="AO160" s="475"/>
      <c r="AP160" s="488"/>
    </row>
    <row r="161" spans="1:42" s="535" customFormat="1" ht="12.75" customHeight="1">
      <c r="B161" s="2642" t="s">
        <v>2478</v>
      </c>
      <c r="C161" s="2642"/>
      <c r="D161" s="2642"/>
      <c r="E161" s="2642"/>
      <c r="F161" s="2642"/>
      <c r="G161" s="2642"/>
      <c r="H161" s="2642"/>
      <c r="I161" s="2642"/>
      <c r="J161" s="2642"/>
      <c r="K161" s="2642"/>
      <c r="L161" s="2642"/>
      <c r="M161" s="2642"/>
      <c r="N161" s="2642"/>
      <c r="O161" s="2642"/>
      <c r="P161" s="2642"/>
      <c r="Q161" s="2642"/>
      <c r="R161" s="2642"/>
      <c r="S161" s="2642"/>
      <c r="T161" s="2642"/>
      <c r="U161" s="2642"/>
      <c r="V161" s="2642"/>
      <c r="W161" s="2642"/>
      <c r="X161" s="2642"/>
      <c r="Y161" s="2642"/>
      <c r="Z161" s="2642"/>
      <c r="AA161" s="2642"/>
      <c r="AB161" s="2642"/>
      <c r="AC161" s="2642"/>
      <c r="AD161" s="2642"/>
      <c r="AE161" s="2642"/>
      <c r="AF161" s="2642"/>
      <c r="AG161" s="2642"/>
      <c r="AH161" s="2642"/>
      <c r="AI161" s="2642"/>
      <c r="AJ161" s="2642"/>
      <c r="AK161" s="1179"/>
      <c r="AM161" s="538"/>
      <c r="AN161" s="534"/>
      <c r="AO161" s="475"/>
      <c r="AP161" s="488"/>
    </row>
    <row r="162" spans="1:42" s="535" customFormat="1" ht="12.75" customHeight="1">
      <c r="B162" s="2642"/>
      <c r="C162" s="2642"/>
      <c r="D162" s="2642"/>
      <c r="E162" s="2642"/>
      <c r="F162" s="2642"/>
      <c r="G162" s="2642"/>
      <c r="H162" s="2642"/>
      <c r="I162" s="2642"/>
      <c r="J162" s="2642"/>
      <c r="K162" s="2642"/>
      <c r="L162" s="2642"/>
      <c r="M162" s="2642"/>
      <c r="N162" s="2642"/>
      <c r="O162" s="2642"/>
      <c r="P162" s="2642"/>
      <c r="Q162" s="2642"/>
      <c r="R162" s="2642"/>
      <c r="S162" s="2642"/>
      <c r="T162" s="2642"/>
      <c r="U162" s="2642"/>
      <c r="V162" s="2642"/>
      <c r="W162" s="2642"/>
      <c r="X162" s="2642"/>
      <c r="Y162" s="2642"/>
      <c r="Z162" s="2642"/>
      <c r="AA162" s="2642"/>
      <c r="AB162" s="2642"/>
      <c r="AC162" s="2642"/>
      <c r="AD162" s="2642"/>
      <c r="AE162" s="2642"/>
      <c r="AF162" s="2642"/>
      <c r="AG162" s="2642"/>
      <c r="AH162" s="2642"/>
      <c r="AI162" s="2642"/>
      <c r="AJ162" s="2642"/>
      <c r="AK162" s="1179"/>
      <c r="AM162" s="538"/>
      <c r="AN162" s="534"/>
      <c r="AO162" s="475"/>
      <c r="AP162" s="488"/>
    </row>
    <row r="163" spans="1:42" s="535" customFormat="1" ht="12.75" customHeight="1">
      <c r="C163" s="2545" t="s">
        <v>2479</v>
      </c>
      <c r="D163" s="2545"/>
      <c r="E163" s="2545"/>
      <c r="F163" s="2545"/>
      <c r="G163" s="2545"/>
      <c r="H163" s="2545"/>
      <c r="I163" s="2545"/>
      <c r="J163" s="2545"/>
      <c r="K163" s="2545"/>
      <c r="L163" s="2545"/>
      <c r="M163" s="2545"/>
      <c r="N163" s="2545"/>
      <c r="O163" s="2545"/>
      <c r="P163" s="2545"/>
      <c r="Q163" s="2545"/>
      <c r="R163" s="2545"/>
      <c r="S163" s="2545"/>
      <c r="T163" s="2545"/>
      <c r="U163" s="2545"/>
      <c r="V163" s="2545"/>
      <c r="W163" s="2545"/>
      <c r="X163" s="2545"/>
      <c r="Y163" s="2545"/>
      <c r="Z163" s="2545"/>
      <c r="AA163" s="2545"/>
      <c r="AB163" s="2545"/>
      <c r="AC163" s="2545"/>
      <c r="AD163" s="2545"/>
      <c r="AE163" s="2545"/>
      <c r="AF163" s="2545"/>
      <c r="AG163" s="2545"/>
      <c r="AH163" s="2545"/>
      <c r="AI163" s="2545"/>
      <c r="AJ163" s="2545"/>
      <c r="AK163" s="1179"/>
      <c r="AM163" s="538"/>
      <c r="AN163" s="534"/>
      <c r="AO163" s="475"/>
      <c r="AP163" s="488"/>
    </row>
    <row r="164" spans="1:42" s="535" customFormat="1" ht="12.75" customHeight="1">
      <c r="B164" s="1179"/>
      <c r="C164" s="2480" t="s">
        <v>2477</v>
      </c>
      <c r="D164" s="2480"/>
      <c r="E164" s="2480"/>
      <c r="F164" s="2480"/>
      <c r="G164" s="2480"/>
      <c r="H164" s="2480"/>
      <c r="I164" s="2480"/>
      <c r="J164" s="2480"/>
      <c r="K164" s="2480"/>
      <c r="L164" s="2480"/>
      <c r="M164" s="2480"/>
      <c r="N164" s="2480"/>
      <c r="O164" s="2480"/>
      <c r="P164" s="2480"/>
      <c r="Q164" s="2480"/>
      <c r="R164" s="2480"/>
      <c r="S164" s="2480"/>
      <c r="T164" s="2480"/>
      <c r="U164" s="2480"/>
      <c r="V164" s="2480"/>
      <c r="W164" s="2480"/>
      <c r="X164" s="2480"/>
      <c r="Y164" s="2480"/>
      <c r="Z164" s="2480"/>
      <c r="AA164" s="1169"/>
      <c r="AB164" s="1169"/>
      <c r="AC164" s="1169"/>
      <c r="AD164" s="1169"/>
      <c r="AE164" s="1169"/>
      <c r="AF164" s="1169"/>
      <c r="AG164" s="1169"/>
      <c r="AH164" s="1169"/>
      <c r="AJ164" s="2482" t="s">
        <v>592</v>
      </c>
      <c r="AK164" s="2482"/>
      <c r="AM164" s="538"/>
      <c r="AN164" s="534"/>
      <c r="AO164" s="475"/>
      <c r="AP164" s="488"/>
    </row>
    <row r="165" spans="1:42" s="535" customFormat="1" ht="12.75" customHeight="1">
      <c r="AM165" s="538"/>
      <c r="AN165" s="534"/>
    </row>
    <row r="166" spans="1:42" s="549" customFormat="1" ht="12.75" customHeight="1">
      <c r="A166" s="599"/>
      <c r="B166" s="600"/>
      <c r="C166" s="600"/>
      <c r="D166" s="600"/>
      <c r="E166" s="600"/>
      <c r="F166" s="600"/>
      <c r="G166" s="600"/>
      <c r="H166" s="600"/>
      <c r="I166" s="600"/>
      <c r="J166" s="600"/>
      <c r="K166" s="600"/>
      <c r="L166" s="600"/>
      <c r="M166" s="600"/>
      <c r="N166" s="600"/>
      <c r="O166" s="600"/>
      <c r="P166" s="600"/>
      <c r="Q166" s="600"/>
      <c r="R166" s="600"/>
      <c r="S166" s="600"/>
      <c r="T166" s="600"/>
      <c r="U166" s="600"/>
      <c r="V166" s="600"/>
      <c r="W166" s="600"/>
      <c r="X166" s="600"/>
      <c r="Y166" s="600"/>
      <c r="Z166" s="600"/>
      <c r="AA166" s="600"/>
      <c r="AB166" s="600"/>
      <c r="AC166" s="600"/>
      <c r="AD166" s="600"/>
      <c r="AE166" s="600"/>
      <c r="AF166" s="600"/>
      <c r="AG166" s="600"/>
      <c r="AH166" s="600"/>
      <c r="AI166" s="564" t="s">
        <v>1350</v>
      </c>
      <c r="AJ166" s="2485">
        <f>IF($AB$155="N/A",VLOOKUP($B$153,$AO$151:$AP$154,2,FALSE),VLOOKUP($B$158,$AO$156:$AP$158,2,FALSE))</f>
        <v>7</v>
      </c>
      <c r="AK166" s="2485"/>
      <c r="AL166" s="594"/>
      <c r="AM166" s="535"/>
      <c r="AN166" s="597"/>
    </row>
    <row r="167" spans="1:42" s="549" customFormat="1" ht="12.75" customHeight="1">
      <c r="A167" s="594"/>
      <c r="B167" s="594"/>
      <c r="C167" s="535"/>
      <c r="D167" s="535"/>
      <c r="E167" s="535"/>
      <c r="F167" s="535"/>
      <c r="G167" s="535"/>
      <c r="H167" s="535"/>
      <c r="I167" s="535"/>
      <c r="J167" s="535"/>
      <c r="K167" s="535"/>
      <c r="L167" s="535"/>
      <c r="M167" s="535"/>
      <c r="N167" s="535"/>
      <c r="O167" s="535"/>
      <c r="P167" s="535"/>
      <c r="Q167" s="535"/>
      <c r="R167" s="535"/>
      <c r="S167" s="535"/>
      <c r="T167" s="535"/>
      <c r="U167" s="535"/>
      <c r="V167" s="535"/>
      <c r="W167" s="535"/>
      <c r="X167" s="535"/>
      <c r="Y167" s="535"/>
      <c r="Z167" s="535"/>
      <c r="AA167" s="535"/>
      <c r="AB167" s="535"/>
      <c r="AC167" s="535"/>
      <c r="AD167" s="535"/>
      <c r="AE167" s="535"/>
      <c r="AF167" s="535"/>
      <c r="AG167" s="535"/>
      <c r="AH167" s="535"/>
      <c r="AI167" s="535"/>
      <c r="AJ167" s="535"/>
      <c r="AK167" s="535"/>
      <c r="AL167" s="535"/>
      <c r="AM167" s="535"/>
      <c r="AN167" s="597"/>
    </row>
    <row r="168" spans="1:42" s="549" customFormat="1" ht="12.75" customHeight="1">
      <c r="A168" s="535"/>
      <c r="B168" s="537" t="s">
        <v>1352</v>
      </c>
      <c r="C168" s="538"/>
      <c r="D168" s="535"/>
      <c r="E168" s="641"/>
      <c r="F168" s="641"/>
      <c r="G168" s="641"/>
      <c r="H168" s="641"/>
      <c r="I168" s="641"/>
      <c r="J168" s="641"/>
      <c r="K168" s="641"/>
      <c r="L168" s="641"/>
      <c r="M168" s="641"/>
      <c r="N168" s="641"/>
      <c r="O168" s="641"/>
      <c r="P168" s="641"/>
      <c r="Q168" s="641"/>
      <c r="R168" s="641"/>
      <c r="S168" s="641"/>
      <c r="T168" s="641"/>
      <c r="U168" s="641"/>
      <c r="V168" s="641"/>
      <c r="W168" s="641"/>
      <c r="X168" s="641"/>
      <c r="Y168" s="641"/>
      <c r="Z168" s="641"/>
      <c r="AA168" s="641"/>
      <c r="AB168" s="641"/>
      <c r="AC168" s="641"/>
      <c r="AD168" s="641"/>
      <c r="AE168" s="535"/>
      <c r="AF168" s="2454" t="s">
        <v>1353</v>
      </c>
      <c r="AG168" s="2454"/>
      <c r="AH168" s="2454"/>
      <c r="AI168" s="2454"/>
      <c r="AJ168" s="2454"/>
      <c r="AK168" s="2454"/>
      <c r="AL168" s="2454"/>
      <c r="AM168" s="602"/>
      <c r="AN168" s="597"/>
    </row>
    <row r="169" spans="1:42" s="549" customFormat="1" ht="12.75" customHeight="1">
      <c r="A169" s="535"/>
      <c r="B169" s="538" t="s">
        <v>1354</v>
      </c>
      <c r="C169" s="535"/>
      <c r="D169" s="535"/>
      <c r="E169" s="535"/>
      <c r="F169" s="535"/>
      <c r="G169" s="535"/>
      <c r="H169" s="535"/>
      <c r="I169" s="535"/>
      <c r="J169" s="535"/>
      <c r="K169" s="535"/>
      <c r="L169" s="535"/>
      <c r="M169" s="535"/>
      <c r="N169" s="535"/>
      <c r="O169" s="535"/>
      <c r="P169" s="535"/>
      <c r="Q169" s="535"/>
      <c r="R169" s="535"/>
      <c r="S169" s="535"/>
      <c r="T169" s="535"/>
      <c r="U169" s="535"/>
      <c r="V169" s="535"/>
      <c r="W169" s="535"/>
      <c r="X169" s="535"/>
      <c r="Y169" s="535"/>
      <c r="Z169" s="535"/>
      <c r="AA169" s="538"/>
      <c r="AB169" s="538"/>
      <c r="AC169" s="538"/>
      <c r="AD169" s="538"/>
      <c r="AE169" s="535"/>
      <c r="AF169" s="535"/>
      <c r="AG169" s="535"/>
      <c r="AH169" s="535"/>
      <c r="AI169" s="535"/>
      <c r="AJ169" s="535"/>
      <c r="AK169" s="535"/>
      <c r="AL169" s="535"/>
      <c r="AM169" s="602"/>
      <c r="AN169" s="597"/>
    </row>
    <row r="170" spans="1:42" s="549" customFormat="1" ht="12.75" customHeight="1">
      <c r="A170" s="535"/>
      <c r="B170" s="535"/>
      <c r="C170" s="2481" t="s">
        <v>1349</v>
      </c>
      <c r="D170" s="2481"/>
      <c r="E170" s="2481"/>
      <c r="F170" s="2481"/>
      <c r="G170" s="2481"/>
      <c r="H170" s="2481"/>
      <c r="I170" s="2481"/>
      <c r="J170" s="2481"/>
      <c r="K170" s="2481"/>
      <c r="L170" s="2481"/>
      <c r="M170" s="2481"/>
      <c r="N170" s="2481"/>
      <c r="O170" s="2481"/>
      <c r="P170" s="2481"/>
      <c r="Q170" s="2481"/>
      <c r="R170" s="2481"/>
      <c r="S170" s="2481"/>
      <c r="T170" s="2481"/>
      <c r="U170" s="2481"/>
      <c r="V170" s="2481"/>
      <c r="W170" s="2481"/>
      <c r="X170" s="2481"/>
      <c r="Y170" s="2481"/>
      <c r="Z170" s="2481"/>
      <c r="AA170" s="2481"/>
      <c r="AB170" s="2481"/>
      <c r="AC170" s="2481"/>
      <c r="AD170" s="2481"/>
      <c r="AE170" s="2481"/>
      <c r="AF170" s="2481"/>
      <c r="AG170" s="2481"/>
      <c r="AH170" s="2481"/>
      <c r="AI170" s="2481"/>
      <c r="AJ170" s="535"/>
      <c r="AK170" s="535"/>
      <c r="AL170" s="535"/>
      <c r="AM170" s="602"/>
      <c r="AN170" s="596"/>
      <c r="AO170" s="475" t="s">
        <v>307</v>
      </c>
      <c r="AP170" s="475"/>
    </row>
    <row r="171" spans="1:42" s="549" customFormat="1" ht="12.95" customHeight="1">
      <c r="A171" s="535"/>
      <c r="B171" s="535"/>
      <c r="C171" s="604"/>
      <c r="D171" s="604"/>
      <c r="E171" s="604"/>
      <c r="F171" s="604"/>
      <c r="G171" s="604"/>
      <c r="H171" s="604"/>
      <c r="I171" s="604"/>
      <c r="J171" s="604"/>
      <c r="K171" s="604"/>
      <c r="L171" s="604"/>
      <c r="M171" s="604"/>
      <c r="N171" s="604"/>
      <c r="O171" s="604"/>
      <c r="P171" s="604"/>
      <c r="Q171" s="604"/>
      <c r="R171" s="604"/>
      <c r="S171" s="604"/>
      <c r="T171" s="604"/>
      <c r="U171" s="604"/>
      <c r="V171" s="604"/>
      <c r="W171" s="604"/>
      <c r="X171" s="604"/>
      <c r="Y171" s="604"/>
      <c r="Z171" s="604"/>
      <c r="AA171" s="604"/>
      <c r="AB171" s="604"/>
      <c r="AC171" s="604"/>
      <c r="AD171" s="604"/>
      <c r="AE171" s="535"/>
      <c r="AF171" s="535"/>
      <c r="AG171" s="535"/>
      <c r="AH171" s="535"/>
      <c r="AI171" s="535"/>
      <c r="AJ171" s="535"/>
      <c r="AK171" s="535"/>
      <c r="AL171" s="535"/>
      <c r="AM171" s="602"/>
      <c r="AN171" s="596"/>
      <c r="AO171" s="475" t="s">
        <v>1349</v>
      </c>
      <c r="AP171" s="598">
        <v>2</v>
      </c>
    </row>
    <row r="172" spans="1:42" s="549" customFormat="1" ht="12.75" customHeight="1">
      <c r="A172" s="535"/>
      <c r="B172" s="535"/>
      <c r="C172" s="538" t="s">
        <v>1356</v>
      </c>
      <c r="D172" s="535"/>
      <c r="E172" s="535"/>
      <c r="F172" s="535"/>
      <c r="G172" s="535"/>
      <c r="H172" s="535"/>
      <c r="I172" s="535"/>
      <c r="J172" s="535"/>
      <c r="K172" s="535"/>
      <c r="L172" s="535"/>
      <c r="M172" s="535"/>
      <c r="N172" s="535"/>
      <c r="O172" s="535"/>
      <c r="P172" s="535"/>
      <c r="Q172" s="535"/>
      <c r="R172" s="535"/>
      <c r="S172" s="535"/>
      <c r="T172" s="535"/>
      <c r="U172" s="535"/>
      <c r="V172" s="535"/>
      <c r="W172" s="535"/>
      <c r="X172" s="535"/>
      <c r="Y172" s="535"/>
      <c r="Z172" s="535"/>
      <c r="AA172" s="535"/>
      <c r="AB172" s="535"/>
      <c r="AE172" s="535"/>
      <c r="AF172" s="2482" t="s">
        <v>546</v>
      </c>
      <c r="AG172" s="2482"/>
      <c r="AH172" s="535"/>
      <c r="AI172" s="535"/>
      <c r="AJ172" s="535"/>
      <c r="AK172" s="535"/>
      <c r="AL172" s="535"/>
      <c r="AM172" s="602"/>
      <c r="AN172" s="596"/>
      <c r="AO172" s="475" t="s">
        <v>1351</v>
      </c>
      <c r="AP172" s="598">
        <v>3</v>
      </c>
    </row>
    <row r="173" spans="1:42" s="549" customFormat="1" ht="9" customHeight="1">
      <c r="A173" s="535"/>
      <c r="B173" s="535"/>
      <c r="C173" s="604"/>
      <c r="D173" s="604"/>
      <c r="E173" s="604"/>
      <c r="F173" s="604"/>
      <c r="G173" s="604"/>
      <c r="H173" s="604"/>
      <c r="I173" s="604"/>
      <c r="J173" s="604"/>
      <c r="K173" s="604"/>
      <c r="L173" s="604"/>
      <c r="M173" s="604"/>
      <c r="N173" s="604"/>
      <c r="O173" s="604"/>
      <c r="P173" s="604"/>
      <c r="Q173" s="604"/>
      <c r="R173" s="604"/>
      <c r="S173" s="604"/>
      <c r="T173" s="604"/>
      <c r="U173" s="604"/>
      <c r="V173" s="604"/>
      <c r="W173" s="604"/>
      <c r="X173" s="604"/>
      <c r="Y173" s="604"/>
      <c r="Z173" s="604"/>
      <c r="AA173" s="604"/>
      <c r="AB173" s="604"/>
      <c r="AC173" s="604"/>
      <c r="AD173" s="604"/>
      <c r="AE173" s="535"/>
      <c r="AF173" s="535"/>
      <c r="AG173" s="535"/>
      <c r="AJ173" s="535"/>
      <c r="AK173" s="535"/>
      <c r="AL173" s="535"/>
      <c r="AM173" s="602"/>
      <c r="AN173" s="596"/>
      <c r="AO173" s="601" t="s">
        <v>2170</v>
      </c>
      <c r="AP173" s="598">
        <v>3</v>
      </c>
    </row>
    <row r="174" spans="1:42" s="549" customFormat="1" ht="12.75" customHeight="1">
      <c r="A174" s="535"/>
      <c r="B174" s="535"/>
      <c r="C174" s="2481" t="s">
        <v>1357</v>
      </c>
      <c r="D174" s="2481"/>
      <c r="E174" s="2481"/>
      <c r="F174" s="2481"/>
      <c r="G174" s="2481"/>
      <c r="H174" s="2481"/>
      <c r="I174" s="2481"/>
      <c r="J174" s="2481"/>
      <c r="K174" s="2481"/>
      <c r="L174" s="2481"/>
      <c r="M174" s="2481"/>
      <c r="N174" s="2481"/>
      <c r="O174" s="2481"/>
      <c r="P174" s="2481"/>
      <c r="Q174" s="2481"/>
      <c r="R174" s="2481"/>
      <c r="S174" s="2481"/>
      <c r="T174" s="2481"/>
      <c r="U174" s="2481"/>
      <c r="V174" s="2481"/>
      <c r="W174" s="2481"/>
      <c r="X174" s="2481"/>
      <c r="Y174" s="2481"/>
      <c r="Z174" s="2481"/>
      <c r="AA174" s="2481"/>
      <c r="AB174" s="2481"/>
      <c r="AC174" s="2481"/>
      <c r="AD174" s="2481"/>
      <c r="AE174" s="535"/>
      <c r="AF174" s="535"/>
      <c r="AG174" s="535"/>
      <c r="AH174" s="535"/>
      <c r="AI174" s="535"/>
      <c r="AJ174" s="535"/>
      <c r="AK174" s="535"/>
      <c r="AL174" s="535"/>
      <c r="AM174" s="602"/>
      <c r="AN174" s="596"/>
      <c r="AO174" s="601"/>
      <c r="AP174" s="598"/>
    </row>
    <row r="175" spans="1:42" s="549" customFormat="1" ht="12.75" customHeight="1">
      <c r="A175" s="535"/>
      <c r="B175" s="535"/>
      <c r="C175" s="538" t="s">
        <v>1348</v>
      </c>
      <c r="D175" s="538"/>
      <c r="E175" s="538"/>
      <c r="F175" s="538"/>
      <c r="G175" s="538"/>
      <c r="H175" s="538"/>
      <c r="I175" s="538"/>
      <c r="J175" s="538"/>
      <c r="K175" s="538"/>
      <c r="L175" s="538"/>
      <c r="M175" s="538"/>
      <c r="N175" s="538"/>
      <c r="O175" s="538"/>
      <c r="P175" s="538"/>
      <c r="Q175" s="538"/>
      <c r="R175" s="538"/>
      <c r="S175" s="538"/>
      <c r="T175" s="538"/>
      <c r="U175" s="538"/>
      <c r="V175" s="538"/>
      <c r="W175" s="538"/>
      <c r="X175" s="538"/>
      <c r="Y175" s="538"/>
      <c r="Z175" s="538"/>
      <c r="AA175" s="538"/>
      <c r="AB175" s="538"/>
      <c r="AC175" s="538"/>
      <c r="AD175" s="538"/>
      <c r="AE175" s="538"/>
      <c r="AF175" s="538"/>
      <c r="AG175" s="538"/>
      <c r="AH175" s="538"/>
      <c r="AI175" s="538"/>
      <c r="AJ175" s="538"/>
      <c r="AK175" s="538"/>
      <c r="AL175" s="535"/>
      <c r="AM175" s="602"/>
      <c r="AN175" s="596"/>
      <c r="AO175" s="603"/>
      <c r="AP175" s="603"/>
    </row>
    <row r="176" spans="1:42" s="549" customFormat="1" ht="12.75" customHeight="1">
      <c r="A176" s="535"/>
      <c r="B176" s="535"/>
      <c r="C176" s="535"/>
      <c r="D176" s="535"/>
      <c r="E176" s="535"/>
      <c r="F176" s="535"/>
      <c r="G176" s="535"/>
      <c r="H176" s="535"/>
      <c r="I176" s="535"/>
      <c r="J176" s="535"/>
      <c r="K176" s="535"/>
      <c r="L176" s="535"/>
      <c r="M176" s="535"/>
      <c r="N176" s="535"/>
      <c r="O176" s="535"/>
      <c r="P176" s="535"/>
      <c r="Q176" s="535"/>
      <c r="R176" s="535"/>
      <c r="S176" s="535"/>
      <c r="T176" s="535"/>
      <c r="U176" s="535"/>
      <c r="V176" s="535"/>
      <c r="W176" s="535"/>
      <c r="X176" s="535"/>
      <c r="Y176" s="535"/>
      <c r="Z176" s="535"/>
      <c r="AA176" s="535"/>
      <c r="AB176" s="535"/>
      <c r="AC176" s="535"/>
      <c r="AD176" s="535"/>
      <c r="AE176" s="535"/>
      <c r="AF176" s="535"/>
      <c r="AG176" s="535"/>
      <c r="AH176" s="535"/>
      <c r="AI176" s="535"/>
      <c r="AJ176" s="535"/>
      <c r="AK176" s="535"/>
      <c r="AL176" s="535"/>
      <c r="AM176" s="602"/>
      <c r="AN176" s="596"/>
    </row>
    <row r="177" spans="1:73" s="549" customFormat="1" ht="12.75" customHeight="1">
      <c r="A177" s="535"/>
      <c r="B177" s="535"/>
      <c r="C177" s="537" t="s">
        <v>1358</v>
      </c>
      <c r="D177" s="604"/>
      <c r="E177" s="604"/>
      <c r="F177" s="604"/>
      <c r="G177" s="604"/>
      <c r="H177" s="604"/>
      <c r="I177" s="604"/>
      <c r="J177" s="604"/>
      <c r="K177" s="604"/>
      <c r="L177" s="604"/>
      <c r="M177" s="604"/>
      <c r="N177" s="604"/>
      <c r="O177" s="604"/>
      <c r="P177" s="604"/>
      <c r="Q177" s="604"/>
      <c r="R177" s="604"/>
      <c r="S177" s="604"/>
      <c r="T177" s="604"/>
      <c r="U177" s="604"/>
      <c r="V177" s="604"/>
      <c r="W177" s="604"/>
      <c r="X177" s="604"/>
      <c r="Y177" s="604"/>
      <c r="Z177" s="604"/>
      <c r="AA177" s="604"/>
      <c r="AB177" s="604"/>
      <c r="AC177" s="604"/>
      <c r="AD177" s="604"/>
      <c r="AE177" s="535"/>
      <c r="AF177" s="535"/>
      <c r="AG177" s="535"/>
      <c r="AH177" s="535"/>
      <c r="AI177" s="535"/>
      <c r="AJ177" s="535"/>
      <c r="AK177" s="535"/>
      <c r="AL177" s="535"/>
      <c r="AM177" s="602"/>
      <c r="AN177" s="596"/>
      <c r="AO177" s="475" t="s">
        <v>1344</v>
      </c>
      <c r="AP177" s="475"/>
    </row>
    <row r="178" spans="1:73" s="549" customFormat="1" ht="12.75" customHeight="1">
      <c r="A178" s="535"/>
      <c r="B178" s="535"/>
      <c r="C178" s="2483" t="str">
        <f>Application!AA335</f>
        <v>Century Villages Property Management, LLC</v>
      </c>
      <c r="D178" s="2483"/>
      <c r="E178" s="2483"/>
      <c r="F178" s="2483"/>
      <c r="G178" s="2483"/>
      <c r="H178" s="2483"/>
      <c r="I178" s="2483"/>
      <c r="J178" s="2483"/>
      <c r="K178" s="2483"/>
      <c r="L178" s="2483"/>
      <c r="M178" s="2483"/>
      <c r="N178" s="2483"/>
      <c r="O178" s="2483"/>
      <c r="P178" s="2483"/>
      <c r="Q178" s="2483"/>
      <c r="R178" s="2483"/>
      <c r="S178" s="2483"/>
      <c r="T178" s="2483"/>
      <c r="U178" s="2483"/>
      <c r="V178" s="2483"/>
      <c r="W178" s="2483"/>
      <c r="X178" s="2483"/>
      <c r="Y178" s="2483"/>
      <c r="Z178" s="2483"/>
      <c r="AA178" s="2483"/>
      <c r="AB178" s="2483"/>
      <c r="AC178" s="2483"/>
      <c r="AD178" s="2483"/>
      <c r="AE178" s="535"/>
      <c r="AF178" s="535"/>
      <c r="AG178" s="535"/>
      <c r="AH178" s="535"/>
      <c r="AI178" s="535"/>
      <c r="AJ178" s="535"/>
      <c r="AK178" s="535"/>
      <c r="AL178" s="535"/>
      <c r="AM178" s="602"/>
      <c r="AN178" s="596"/>
      <c r="AO178" s="475" t="s">
        <v>1355</v>
      </c>
      <c r="AP178" s="598">
        <v>2</v>
      </c>
    </row>
    <row r="179" spans="1:73" s="549" customFormat="1" ht="12.75" customHeight="1">
      <c r="A179" s="535"/>
      <c r="B179" s="535"/>
      <c r="C179" s="604"/>
      <c r="D179" s="604"/>
      <c r="E179" s="604"/>
      <c r="F179" s="604"/>
      <c r="G179" s="604"/>
      <c r="H179" s="604"/>
      <c r="I179" s="604"/>
      <c r="J179" s="604"/>
      <c r="K179" s="604"/>
      <c r="L179" s="604"/>
      <c r="M179" s="604"/>
      <c r="N179" s="604"/>
      <c r="O179" s="604"/>
      <c r="P179" s="604"/>
      <c r="Q179" s="604"/>
      <c r="R179" s="604"/>
      <c r="S179" s="604"/>
      <c r="T179" s="604"/>
      <c r="U179" s="604"/>
      <c r="V179" s="604"/>
      <c r="W179" s="604"/>
      <c r="X179" s="604"/>
      <c r="Y179" s="604"/>
      <c r="Z179" s="604"/>
      <c r="AA179" s="604"/>
      <c r="AB179" s="604"/>
      <c r="AC179" s="604"/>
      <c r="AD179" s="604"/>
      <c r="AE179" s="535"/>
      <c r="AF179" s="535"/>
      <c r="AG179" s="535"/>
      <c r="AH179" s="535"/>
      <c r="AI179" s="535"/>
      <c r="AJ179" s="535"/>
      <c r="AK179" s="535"/>
      <c r="AL179" s="535"/>
      <c r="AM179" s="602"/>
      <c r="AN179" s="596"/>
      <c r="AO179" s="475" t="s">
        <v>1357</v>
      </c>
      <c r="AP179" s="598">
        <v>3</v>
      </c>
    </row>
    <row r="180" spans="1:73" s="549" customFormat="1" ht="12.75" customHeight="1">
      <c r="A180" s="605"/>
      <c r="B180" s="563"/>
      <c r="C180" s="563"/>
      <c r="D180" s="562"/>
      <c r="E180" s="563"/>
      <c r="F180" s="563"/>
      <c r="G180" s="563"/>
      <c r="H180" s="563"/>
      <c r="I180" s="563"/>
      <c r="J180" s="563"/>
      <c r="K180" s="563"/>
      <c r="L180" s="563"/>
      <c r="M180" s="563"/>
      <c r="N180" s="563"/>
      <c r="O180" s="563"/>
      <c r="P180" s="563"/>
      <c r="Q180" s="600"/>
      <c r="R180" s="606"/>
      <c r="S180" s="563"/>
      <c r="T180" s="563"/>
      <c r="U180" s="563"/>
      <c r="V180" s="563"/>
      <c r="W180" s="563"/>
      <c r="X180" s="563"/>
      <c r="Y180" s="563"/>
      <c r="Z180" s="563"/>
      <c r="AA180" s="563"/>
      <c r="AB180" s="563"/>
      <c r="AC180" s="563"/>
      <c r="AD180" s="563"/>
      <c r="AE180" s="563"/>
      <c r="AF180" s="563"/>
      <c r="AG180" s="563"/>
      <c r="AH180" s="563"/>
      <c r="AI180" s="564" t="s">
        <v>1359</v>
      </c>
      <c r="AJ180" s="2484">
        <f>IF($AF$172="N/A",VLOOKUP($C$170,$AO$170:$AP$173,2,FALSE),VLOOKUP($C$174,$AO$177:$AP$179,2,FALSE))</f>
        <v>3</v>
      </c>
      <c r="AK180" s="2484"/>
      <c r="AL180" s="607"/>
      <c r="AM180" s="608"/>
      <c r="AN180" s="596"/>
      <c r="AO180" s="601"/>
      <c r="AP180" s="598"/>
    </row>
    <row r="181" spans="1:73" s="549" customFormat="1" ht="12.75" customHeight="1">
      <c r="A181" s="535"/>
      <c r="B181" s="609"/>
      <c r="R181" s="535"/>
      <c r="S181" s="609"/>
      <c r="AN181" s="596"/>
    </row>
    <row r="182" spans="1:73" s="549" customFormat="1" ht="12.75" customHeight="1">
      <c r="A182" s="610"/>
      <c r="B182" s="602"/>
      <c r="C182" s="602"/>
      <c r="D182" s="602"/>
      <c r="E182" s="602"/>
      <c r="F182" s="602"/>
      <c r="G182" s="602"/>
      <c r="H182" s="602"/>
      <c r="I182" s="602"/>
      <c r="J182" s="602"/>
      <c r="K182" s="602"/>
      <c r="L182" s="602"/>
      <c r="M182" s="602"/>
      <c r="N182" s="602"/>
      <c r="O182" s="602"/>
      <c r="P182" s="602"/>
      <c r="Q182" s="602"/>
      <c r="R182" s="602"/>
      <c r="S182" s="602"/>
      <c r="T182" s="602"/>
      <c r="U182" s="602"/>
      <c r="V182" s="602"/>
      <c r="W182" s="602"/>
      <c r="X182" s="602"/>
      <c r="Y182" s="602"/>
      <c r="Z182" s="602"/>
      <c r="AA182" s="602"/>
      <c r="AB182" s="602"/>
      <c r="AC182" s="602"/>
      <c r="AD182" s="602"/>
      <c r="AE182" s="602"/>
      <c r="AF182" s="602"/>
      <c r="AG182" s="602"/>
      <c r="AH182" s="602"/>
      <c r="AI182" s="602"/>
      <c r="AJ182" s="602"/>
      <c r="AK182" s="602"/>
      <c r="AL182" s="602"/>
      <c r="AM182" s="602"/>
      <c r="AN182" s="596"/>
    </row>
    <row r="183" spans="1:73" s="549" customFormat="1" ht="12.75" customHeight="1">
      <c r="A183" s="560"/>
      <c r="B183" s="561"/>
      <c r="C183" s="561"/>
      <c r="D183" s="561"/>
      <c r="E183" s="561"/>
      <c r="F183" s="561"/>
      <c r="G183" s="562"/>
      <c r="H183" s="563"/>
      <c r="I183" s="563"/>
      <c r="J183" s="563"/>
      <c r="K183" s="563"/>
      <c r="L183" s="563"/>
      <c r="M183" s="563"/>
      <c r="N183" s="563"/>
      <c r="O183" s="563"/>
      <c r="P183" s="563"/>
      <c r="Q183" s="563"/>
      <c r="R183" s="563"/>
      <c r="S183" s="563"/>
      <c r="T183" s="563"/>
      <c r="U183" s="563"/>
      <c r="V183" s="563"/>
      <c r="W183" s="563"/>
      <c r="X183" s="563"/>
      <c r="Y183" s="563"/>
      <c r="Z183" s="563"/>
      <c r="AA183" s="563"/>
      <c r="AB183" s="563"/>
      <c r="AC183" s="563"/>
      <c r="AD183" s="563"/>
      <c r="AE183" s="563"/>
      <c r="AF183" s="563"/>
      <c r="AG183" s="563"/>
      <c r="AH183" s="563"/>
      <c r="AI183" s="564"/>
      <c r="AJ183" s="564" t="s">
        <v>1360</v>
      </c>
      <c r="AK183" s="2442">
        <f>$AJ$166+$AJ$180</f>
        <v>10</v>
      </c>
      <c r="AL183" s="2443"/>
      <c r="AM183" s="2444"/>
      <c r="AN183" s="596"/>
    </row>
    <row r="184" spans="1:73" s="549" customFormat="1" ht="12.75" customHeight="1" thickBot="1">
      <c r="A184" s="565"/>
      <c r="B184" s="566"/>
      <c r="C184" s="567"/>
      <c r="D184" s="567"/>
      <c r="E184" s="567"/>
      <c r="F184" s="567"/>
      <c r="G184" s="567"/>
      <c r="H184" s="567"/>
      <c r="I184" s="567"/>
      <c r="J184" s="567"/>
      <c r="K184" s="567"/>
      <c r="L184" s="567"/>
      <c r="M184" s="567"/>
      <c r="N184" s="567"/>
      <c r="O184" s="567"/>
      <c r="P184" s="567"/>
      <c r="Q184" s="567"/>
      <c r="R184" s="567"/>
      <c r="S184" s="567"/>
      <c r="T184" s="567"/>
      <c r="U184" s="567"/>
      <c r="V184" s="567"/>
      <c r="W184" s="567"/>
      <c r="X184" s="567"/>
      <c r="Y184" s="567"/>
      <c r="Z184" s="567"/>
      <c r="AA184" s="567"/>
      <c r="AB184" s="567"/>
      <c r="AC184" s="567"/>
      <c r="AD184" s="567"/>
      <c r="AE184" s="567"/>
      <c r="AF184" s="567"/>
      <c r="AG184" s="567"/>
      <c r="AH184" s="567"/>
      <c r="AI184" s="567"/>
      <c r="AJ184" s="567"/>
      <c r="AK184" s="567"/>
      <c r="AL184" s="567"/>
      <c r="AM184" s="568"/>
      <c r="AN184" s="596"/>
      <c r="AO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row>
    <row r="185" spans="1:73" s="549" customFormat="1" ht="12.75" customHeight="1" thickTop="1">
      <c r="A185" s="569"/>
      <c r="B185" s="570"/>
      <c r="C185" s="571"/>
      <c r="D185" s="571"/>
      <c r="E185" s="571"/>
      <c r="F185" s="571"/>
      <c r="G185" s="571"/>
      <c r="H185" s="571"/>
      <c r="I185" s="572"/>
      <c r="J185" s="572"/>
      <c r="K185" s="572"/>
      <c r="L185" s="572"/>
      <c r="M185" s="572"/>
      <c r="N185" s="572"/>
      <c r="O185" s="572"/>
      <c r="P185" s="572"/>
      <c r="Q185" s="572"/>
      <c r="R185" s="569"/>
      <c r="S185" s="538"/>
      <c r="T185" s="538"/>
      <c r="U185" s="538"/>
      <c r="V185" s="538"/>
      <c r="W185" s="538"/>
      <c r="X185" s="538"/>
      <c r="Y185" s="538"/>
      <c r="Z185" s="538"/>
      <c r="AA185" s="538"/>
      <c r="AB185" s="538"/>
      <c r="AC185" s="538"/>
      <c r="AD185" s="538"/>
      <c r="AE185" s="538"/>
      <c r="AF185" s="569"/>
      <c r="AG185" s="538"/>
      <c r="AH185" s="538"/>
      <c r="AI185" s="538"/>
      <c r="AJ185" s="538"/>
      <c r="AN185" s="596"/>
      <c r="AP185" s="611" t="s">
        <v>1361</v>
      </c>
      <c r="AQ185" s="611">
        <v>0</v>
      </c>
    </row>
    <row r="186" spans="1:73" s="549" customFormat="1" ht="12.75" customHeight="1">
      <c r="A186" s="537" t="s">
        <v>1362</v>
      </c>
      <c r="B186" s="537" t="s">
        <v>1728</v>
      </c>
      <c r="C186" s="612"/>
      <c r="D186" s="613"/>
      <c r="E186" s="613"/>
      <c r="F186" s="613"/>
      <c r="G186" s="613"/>
      <c r="H186" s="613"/>
      <c r="I186" s="613"/>
      <c r="J186" s="613"/>
      <c r="K186" s="535"/>
      <c r="L186" s="535"/>
      <c r="M186" s="535"/>
      <c r="N186" s="535"/>
      <c r="O186" s="535"/>
      <c r="P186" s="535"/>
      <c r="Q186" s="535"/>
      <c r="R186" s="535"/>
      <c r="S186" s="535"/>
      <c r="T186" s="535"/>
      <c r="U186" s="535"/>
      <c r="V186" s="535"/>
      <c r="W186" s="535"/>
      <c r="X186" s="535"/>
      <c r="Y186" s="614"/>
      <c r="Z186" s="614"/>
      <c r="AA186" s="614"/>
      <c r="AB186" s="614"/>
      <c r="AC186" s="535"/>
      <c r="AD186" s="535"/>
      <c r="AE186" s="2419" t="s">
        <v>1315</v>
      </c>
      <c r="AF186" s="2419"/>
      <c r="AG186" s="2419"/>
      <c r="AH186" s="2419"/>
      <c r="AI186" s="2419"/>
      <c r="AJ186" s="2419"/>
      <c r="AK186" s="2419"/>
      <c r="AL186" s="590"/>
      <c r="AN186" s="596"/>
      <c r="AP186" s="549" t="s">
        <v>1042</v>
      </c>
      <c r="AQ186" s="549">
        <v>10</v>
      </c>
    </row>
    <row r="187" spans="1:73" s="549" customFormat="1" ht="12.75" customHeight="1">
      <c r="A187" s="537"/>
      <c r="B187" s="615"/>
      <c r="C187" s="616"/>
      <c r="D187" s="613"/>
      <c r="E187" s="613"/>
      <c r="F187" s="613"/>
      <c r="G187" s="613"/>
      <c r="H187" s="535"/>
      <c r="I187" s="535"/>
      <c r="J187" s="535"/>
      <c r="K187" s="535"/>
      <c r="L187" s="535"/>
      <c r="M187" s="535"/>
      <c r="N187" s="535"/>
      <c r="O187" s="535"/>
      <c r="P187" s="535"/>
      <c r="Q187" s="535"/>
      <c r="R187" s="614"/>
      <c r="S187" s="614"/>
      <c r="T187" s="614"/>
      <c r="U187" s="614"/>
      <c r="V187" s="614"/>
      <c r="W187" s="614"/>
      <c r="X187" s="614"/>
      <c r="Y187" s="614"/>
      <c r="Z187" s="614"/>
      <c r="AA187" s="614"/>
      <c r="AB187" s="614"/>
      <c r="AC187" s="590"/>
      <c r="AD187" s="590"/>
      <c r="AE187" s="535"/>
      <c r="AF187" s="535"/>
      <c r="AG187" s="535"/>
      <c r="AH187" s="535"/>
      <c r="AI187" s="535"/>
      <c r="AJ187" s="535"/>
      <c r="AK187" s="535"/>
      <c r="AL187" s="535"/>
      <c r="AN187" s="596"/>
      <c r="AP187" s="549" t="s">
        <v>1363</v>
      </c>
      <c r="AQ187" s="549">
        <v>10</v>
      </c>
    </row>
    <row r="188" spans="1:73" s="549" customFormat="1" ht="12.75" customHeight="1">
      <c r="A188" s="535"/>
      <c r="B188" s="2479" t="s">
        <v>1044</v>
      </c>
      <c r="C188" s="2479"/>
      <c r="D188" s="2479"/>
      <c r="E188" s="2479"/>
      <c r="F188" s="2479"/>
      <c r="G188" s="2479"/>
      <c r="H188" s="2479"/>
      <c r="I188" s="2479"/>
      <c r="J188" s="2479"/>
      <c r="K188" s="2479"/>
      <c r="L188" s="2479"/>
      <c r="M188" s="2479"/>
      <c r="N188" s="2479"/>
      <c r="O188" s="2479"/>
      <c r="P188" s="2479"/>
      <c r="Q188" s="2479"/>
      <c r="R188" s="2479"/>
      <c r="S188" s="2479"/>
      <c r="T188" s="2479"/>
      <c r="U188" s="2479"/>
      <c r="V188" s="2479"/>
      <c r="W188" s="2479"/>
      <c r="X188" s="2479"/>
      <c r="Y188" s="2479"/>
      <c r="Z188" s="2479"/>
      <c r="AA188" s="2479"/>
      <c r="AB188" s="2479"/>
      <c r="AC188" s="2479"/>
      <c r="AD188" s="535"/>
      <c r="AE188" s="535"/>
      <c r="AF188" s="2454" t="s">
        <v>1364</v>
      </c>
      <c r="AG188" s="2454"/>
      <c r="AH188" s="2454"/>
      <c r="AI188" s="2454"/>
      <c r="AJ188" s="2454"/>
      <c r="AK188" s="2454"/>
      <c r="AL188" s="2454"/>
      <c r="AN188" s="596"/>
      <c r="AP188" s="549" t="s">
        <v>1044</v>
      </c>
      <c r="AQ188" s="549">
        <v>10</v>
      </c>
    </row>
    <row r="189" spans="1:73" s="549" customFormat="1" ht="12.75" customHeight="1">
      <c r="A189" s="535"/>
      <c r="B189" s="2480" t="s">
        <v>1727</v>
      </c>
      <c r="C189" s="2480"/>
      <c r="D189" s="2480"/>
      <c r="E189" s="2480"/>
      <c r="F189" s="2480"/>
      <c r="G189" s="2480"/>
      <c r="H189" s="2480"/>
      <c r="I189" s="2480"/>
      <c r="J189" s="2480"/>
      <c r="K189" s="2480"/>
      <c r="L189" s="2480"/>
      <c r="M189" s="2480"/>
      <c r="N189" s="2480"/>
      <c r="O189" s="2480"/>
      <c r="P189" s="2480"/>
      <c r="Q189" s="2480"/>
      <c r="R189" s="2480"/>
      <c r="S189" s="2480"/>
      <c r="T189" s="2455" t="s">
        <v>592</v>
      </c>
      <c r="U189" s="2455"/>
      <c r="V189" s="2455"/>
      <c r="W189" s="2455"/>
      <c r="X189" s="2455"/>
      <c r="Y189" s="2455"/>
      <c r="Z189" s="2455"/>
      <c r="AA189" s="2455"/>
      <c r="AB189" s="2455"/>
      <c r="AC189" s="2455"/>
      <c r="AD189" s="535"/>
      <c r="AE189" s="535"/>
      <c r="AF189" s="535"/>
      <c r="AG189" s="535"/>
      <c r="AH189" s="535"/>
      <c r="AI189" s="535"/>
      <c r="AJ189" s="542"/>
      <c r="AK189" s="594"/>
      <c r="AL189" s="594"/>
      <c r="AM189" s="594"/>
      <c r="AN189" s="596"/>
      <c r="AP189" s="549" t="s">
        <v>1365</v>
      </c>
      <c r="AQ189" s="549">
        <v>10</v>
      </c>
      <c r="AS189" s="549" t="s">
        <v>592</v>
      </c>
    </row>
    <row r="190" spans="1:73" s="549" customFormat="1" ht="12.75" customHeight="1">
      <c r="A190" s="535"/>
      <c r="B190" s="604"/>
      <c r="C190" s="604"/>
      <c r="D190" s="604"/>
      <c r="E190" s="604"/>
      <c r="F190" s="604"/>
      <c r="G190" s="604"/>
      <c r="H190" s="604"/>
      <c r="I190" s="604"/>
      <c r="J190" s="604"/>
      <c r="K190" s="604"/>
      <c r="L190" s="604"/>
      <c r="M190" s="604"/>
      <c r="N190" s="604"/>
      <c r="O190" s="604"/>
      <c r="P190" s="604"/>
      <c r="Q190" s="604"/>
      <c r="R190" s="604"/>
      <c r="S190" s="604"/>
      <c r="T190" s="604"/>
      <c r="U190" s="604"/>
      <c r="V190" s="604"/>
      <c r="W190" s="604"/>
      <c r="X190" s="604"/>
      <c r="Y190" s="604"/>
      <c r="Z190" s="604"/>
      <c r="AA190" s="604"/>
      <c r="AB190" s="604"/>
      <c r="AC190" s="604"/>
      <c r="AD190" s="604"/>
      <c r="AE190" s="535"/>
      <c r="AF190" s="535"/>
      <c r="AG190" s="535"/>
      <c r="AH190" s="535"/>
      <c r="AI190" s="535"/>
      <c r="AJ190" s="542"/>
      <c r="AK190" s="594"/>
      <c r="AL190" s="594"/>
      <c r="AM190" s="617"/>
      <c r="AP190" s="549" t="s">
        <v>1368</v>
      </c>
      <c r="AQ190" s="549">
        <v>10</v>
      </c>
      <c r="AS190" s="549" t="s">
        <v>1366</v>
      </c>
    </row>
    <row r="191" spans="1:73" s="549" customFormat="1" ht="12.75" customHeight="1">
      <c r="A191" s="605"/>
      <c r="B191" s="563"/>
      <c r="C191" s="563"/>
      <c r="D191" s="563"/>
      <c r="E191" s="563"/>
      <c r="F191" s="563"/>
      <c r="G191" s="563"/>
      <c r="H191" s="563"/>
      <c r="I191" s="563"/>
      <c r="J191" s="563"/>
      <c r="K191" s="563"/>
      <c r="L191" s="563"/>
      <c r="M191" s="563"/>
      <c r="N191" s="563"/>
      <c r="O191" s="563"/>
      <c r="P191" s="563"/>
      <c r="Q191" s="563"/>
      <c r="R191" s="563"/>
      <c r="S191" s="563"/>
      <c r="T191" s="563"/>
      <c r="U191" s="563"/>
      <c r="V191" s="563"/>
      <c r="W191" s="563"/>
      <c r="X191" s="563"/>
      <c r="Y191" s="563"/>
      <c r="Z191" s="563"/>
      <c r="AA191" s="563"/>
      <c r="AB191" s="563"/>
      <c r="AC191" s="563"/>
      <c r="AD191" s="563"/>
      <c r="AE191" s="563"/>
      <c r="AF191" s="563"/>
      <c r="AG191" s="563"/>
      <c r="AH191" s="563"/>
      <c r="AI191" s="564"/>
      <c r="AJ191" s="564" t="s">
        <v>1367</v>
      </c>
      <c r="AK191" s="2489">
        <f>IF(AK84&gt;0,VLOOKUP($B$188,AP185:AQ191,2,FALSE),0)</f>
        <v>10</v>
      </c>
      <c r="AL191" s="2490"/>
      <c r="AM191" s="2491"/>
      <c r="AN191" s="534"/>
      <c r="AP191" s="549" t="s">
        <v>1370</v>
      </c>
      <c r="AQ191" s="549">
        <v>10</v>
      </c>
      <c r="AS191" s="549" t="s">
        <v>1369</v>
      </c>
    </row>
    <row r="192" spans="1:73" s="549" customFormat="1" ht="12.75" customHeight="1" thickBot="1">
      <c r="A192" s="618"/>
      <c r="B192" s="618"/>
      <c r="C192" s="619"/>
      <c r="D192" s="620"/>
      <c r="E192" s="620"/>
      <c r="F192" s="620"/>
      <c r="G192" s="620"/>
      <c r="H192" s="620"/>
      <c r="I192" s="620"/>
      <c r="J192" s="620"/>
      <c r="K192" s="620"/>
      <c r="L192" s="620"/>
      <c r="M192" s="620"/>
      <c r="N192" s="620"/>
      <c r="O192" s="620"/>
      <c r="P192" s="620"/>
      <c r="Q192" s="620"/>
      <c r="R192" s="620"/>
      <c r="S192" s="620"/>
      <c r="T192" s="620"/>
      <c r="U192" s="620"/>
      <c r="V192" s="620"/>
      <c r="W192" s="620"/>
      <c r="X192" s="620"/>
      <c r="Y192" s="620"/>
      <c r="Z192" s="620"/>
      <c r="AA192" s="620"/>
      <c r="AB192" s="620"/>
      <c r="AC192" s="620"/>
      <c r="AD192" s="620"/>
      <c r="AE192" s="620"/>
      <c r="AF192" s="620"/>
      <c r="AG192" s="620"/>
      <c r="AH192" s="620"/>
      <c r="AI192" s="620"/>
      <c r="AJ192" s="620"/>
      <c r="AK192" s="620"/>
      <c r="AL192" s="620"/>
      <c r="AM192" s="620"/>
      <c r="AN192" s="596"/>
    </row>
    <row r="193" spans="1:40" s="549" customFormat="1" ht="12.75" customHeight="1" thickTop="1">
      <c r="A193" s="569"/>
      <c r="B193" s="570"/>
      <c r="C193" s="571"/>
      <c r="D193" s="571"/>
      <c r="E193" s="571"/>
      <c r="F193" s="571"/>
      <c r="G193" s="571"/>
      <c r="H193" s="571"/>
      <c r="I193" s="572"/>
      <c r="J193" s="572"/>
      <c r="K193" s="572"/>
      <c r="L193" s="572"/>
      <c r="M193" s="572"/>
      <c r="N193" s="572"/>
      <c r="O193" s="572"/>
      <c r="P193" s="572"/>
      <c r="Q193" s="572"/>
      <c r="R193" s="569"/>
      <c r="S193" s="538"/>
      <c r="T193" s="538"/>
      <c r="U193" s="538"/>
      <c r="V193" s="538"/>
      <c r="W193" s="538"/>
      <c r="X193" s="538"/>
      <c r="Y193" s="538"/>
      <c r="Z193" s="538"/>
      <c r="AA193" s="538"/>
      <c r="AB193" s="538"/>
      <c r="AC193" s="538"/>
      <c r="AD193" s="538"/>
      <c r="AE193" s="538"/>
      <c r="AF193" s="569"/>
      <c r="AG193" s="538"/>
      <c r="AH193" s="538"/>
      <c r="AI193" s="538"/>
      <c r="AJ193" s="538"/>
      <c r="AN193" s="596"/>
    </row>
    <row r="194" spans="1:40">
      <c r="A194" s="537" t="s">
        <v>1371</v>
      </c>
      <c r="B194" s="537" t="s">
        <v>1372</v>
      </c>
      <c r="C194" s="612"/>
      <c r="D194" s="613"/>
      <c r="E194" s="613"/>
      <c r="F194" s="613"/>
      <c r="G194" s="613"/>
      <c r="H194" s="613"/>
      <c r="I194" s="613"/>
      <c r="J194" s="613"/>
      <c r="K194" s="549"/>
      <c r="L194" s="549"/>
      <c r="M194" s="549"/>
      <c r="N194" s="549"/>
      <c r="O194" s="549"/>
      <c r="P194" s="549"/>
      <c r="Q194" s="549"/>
      <c r="R194" s="549"/>
      <c r="S194" s="549"/>
      <c r="T194" s="549"/>
      <c r="U194" s="549"/>
      <c r="V194" s="549"/>
      <c r="W194" s="549"/>
      <c r="X194" s="549"/>
      <c r="Y194" s="614"/>
      <c r="Z194" s="614"/>
      <c r="AA194" s="614"/>
      <c r="AB194" s="614"/>
      <c r="AC194" s="549"/>
      <c r="AD194" s="549"/>
      <c r="AE194" s="2419" t="s">
        <v>1373</v>
      </c>
      <c r="AF194" s="2419"/>
      <c r="AG194" s="2419"/>
      <c r="AH194" s="2419"/>
      <c r="AI194" s="2419"/>
      <c r="AJ194" s="2419"/>
      <c r="AK194" s="2419"/>
    </row>
    <row r="195" spans="1:40">
      <c r="A195" s="537"/>
      <c r="B195" s="537"/>
      <c r="C195" s="612"/>
      <c r="D195" s="613"/>
      <c r="E195" s="613"/>
      <c r="F195" s="613"/>
      <c r="G195" s="613"/>
      <c r="H195" s="613"/>
      <c r="I195" s="613"/>
      <c r="J195" s="613"/>
      <c r="K195" s="535"/>
      <c r="L195" s="535"/>
      <c r="M195" s="535"/>
      <c r="N195" s="535"/>
      <c r="O195" s="535"/>
      <c r="P195" s="535"/>
      <c r="Q195" s="535"/>
      <c r="R195" s="535"/>
      <c r="S195" s="535"/>
      <c r="T195" s="535"/>
      <c r="U195" s="535"/>
      <c r="V195" s="535"/>
      <c r="W195" s="535"/>
      <c r="X195" s="535"/>
      <c r="Y195" s="614"/>
      <c r="Z195" s="614"/>
      <c r="AA195" s="614"/>
      <c r="AB195" s="614"/>
      <c r="AC195" s="535"/>
      <c r="AD195" s="535"/>
      <c r="AE195" s="542"/>
      <c r="AF195" s="542"/>
      <c r="AG195" s="542"/>
      <c r="AH195" s="542"/>
      <c r="AI195" s="542"/>
      <c r="AJ195" s="542"/>
      <c r="AK195" s="542"/>
    </row>
    <row r="196" spans="1:40">
      <c r="A196" s="537"/>
      <c r="B196" s="843" t="s">
        <v>1590</v>
      </c>
      <c r="C196" s="612"/>
      <c r="D196" s="613"/>
      <c r="E196" s="613"/>
      <c r="F196" s="613"/>
      <c r="G196" s="613"/>
      <c r="H196" s="613"/>
      <c r="I196" s="613"/>
      <c r="J196" s="613"/>
      <c r="K196" s="535"/>
      <c r="L196" s="535"/>
      <c r="M196" s="535"/>
      <c r="N196" s="535"/>
      <c r="O196" s="535"/>
      <c r="P196" s="535"/>
      <c r="Q196" s="535"/>
      <c r="R196" s="535"/>
      <c r="S196" s="535"/>
      <c r="T196" s="535"/>
      <c r="U196" s="535"/>
      <c r="V196" s="535"/>
      <c r="W196" s="535"/>
      <c r="X196" s="535"/>
      <c r="Y196" s="614"/>
      <c r="Z196" s="614"/>
      <c r="AA196" s="614"/>
      <c r="AB196" s="614"/>
      <c r="AC196" s="535"/>
      <c r="AD196" s="535"/>
      <c r="AE196" s="542"/>
      <c r="AF196" s="542"/>
      <c r="AG196" s="542"/>
      <c r="AH196" s="542"/>
      <c r="AI196" s="542"/>
      <c r="AJ196" s="542"/>
      <c r="AK196" s="542"/>
    </row>
    <row r="197" spans="1:40">
      <c r="A197" s="604"/>
      <c r="C197" s="662"/>
      <c r="D197" s="826"/>
      <c r="E197" s="826"/>
      <c r="F197" s="826"/>
      <c r="G197" s="826"/>
      <c r="H197" s="826"/>
      <c r="I197" s="826"/>
      <c r="J197" s="826"/>
      <c r="K197" s="535"/>
      <c r="L197" s="535"/>
      <c r="M197" s="535"/>
      <c r="N197" s="535"/>
      <c r="O197" s="535"/>
      <c r="P197" s="535"/>
      <c r="Q197" s="535"/>
      <c r="R197" s="535"/>
      <c r="S197" s="535"/>
      <c r="T197" s="535"/>
      <c r="U197" s="535"/>
      <c r="V197" s="535"/>
      <c r="W197" s="535"/>
      <c r="X197" s="535"/>
      <c r="Y197" s="642"/>
      <c r="Z197" s="642"/>
      <c r="AA197" s="642"/>
      <c r="AB197" s="642"/>
      <c r="AC197" s="535"/>
      <c r="AD197" s="535"/>
      <c r="AE197" s="609"/>
      <c r="AF197" s="609"/>
      <c r="AG197" s="609"/>
      <c r="AH197" s="609"/>
      <c r="AI197" s="609"/>
      <c r="AJ197" s="609"/>
      <c r="AK197" s="609"/>
    </row>
    <row r="198" spans="1:40">
      <c r="A198" s="604"/>
      <c r="B198" s="844" t="s">
        <v>1626</v>
      </c>
      <c r="C198" s="662"/>
      <c r="D198" s="826"/>
      <c r="E198" s="826"/>
      <c r="F198" s="826"/>
      <c r="G198" s="826"/>
      <c r="H198" s="826"/>
      <c r="I198" s="826"/>
      <c r="J198" s="826"/>
      <c r="K198" s="535"/>
      <c r="L198" s="535"/>
      <c r="M198" s="535"/>
      <c r="N198" s="535"/>
      <c r="O198" s="535"/>
      <c r="P198" s="535"/>
      <c r="Q198" s="535"/>
      <c r="R198" s="535"/>
      <c r="S198" s="535"/>
      <c r="T198" s="535"/>
      <c r="U198" s="535"/>
      <c r="V198" s="535"/>
      <c r="W198" s="535"/>
      <c r="X198" s="535"/>
      <c r="Y198" s="642"/>
      <c r="Z198" s="642"/>
      <c r="AA198" s="642"/>
      <c r="AB198" s="642"/>
      <c r="AC198" s="535"/>
      <c r="AD198" s="535"/>
      <c r="AE198" s="609"/>
      <c r="AF198" s="609"/>
      <c r="AG198" s="609"/>
      <c r="AH198" s="609"/>
      <c r="AI198" s="609"/>
      <c r="AJ198" s="609"/>
      <c r="AK198" s="609"/>
    </row>
    <row r="199" spans="1:40">
      <c r="A199" s="604"/>
      <c r="B199" s="2466" t="str">
        <f>Application!C628</f>
        <v>LACDA - NPLH</v>
      </c>
      <c r="C199" s="2466"/>
      <c r="D199" s="2466"/>
      <c r="E199" s="2466"/>
      <c r="F199" s="2466"/>
      <c r="G199" s="2466"/>
      <c r="H199" s="2466"/>
      <c r="I199" s="2466"/>
      <c r="J199" s="2466"/>
      <c r="K199" s="2466"/>
      <c r="L199" s="2466"/>
      <c r="M199" s="2466"/>
      <c r="N199" s="2466"/>
      <c r="O199" s="2466"/>
      <c r="P199" s="2466"/>
      <c r="Q199" s="2466"/>
      <c r="R199" s="2466"/>
      <c r="S199" s="2466"/>
      <c r="T199" s="2466"/>
      <c r="U199" s="2466"/>
      <c r="V199" s="2466"/>
      <c r="W199" s="2466"/>
      <c r="X199" s="2466"/>
      <c r="Y199" s="2466"/>
      <c r="Z199" s="2466"/>
      <c r="AA199" s="2466"/>
      <c r="AB199" s="2466"/>
      <c r="AC199" s="845"/>
      <c r="AD199" s="2467">
        <f>Application!AO628</f>
        <v>10000000</v>
      </c>
      <c r="AE199" s="2467"/>
      <c r="AF199" s="2467"/>
      <c r="AG199" s="2467"/>
      <c r="AH199" s="2467"/>
      <c r="AI199" s="2467"/>
      <c r="AJ199" s="2467"/>
      <c r="AK199" s="609"/>
    </row>
    <row r="200" spans="1:40">
      <c r="A200" s="604"/>
      <c r="B200" s="2466" t="s">
        <v>2748</v>
      </c>
      <c r="C200" s="2466"/>
      <c r="D200" s="2466"/>
      <c r="E200" s="2466"/>
      <c r="F200" s="2466"/>
      <c r="G200" s="2466"/>
      <c r="H200" s="2466"/>
      <c r="I200" s="2466"/>
      <c r="J200" s="2466"/>
      <c r="K200" s="2466"/>
      <c r="L200" s="2466"/>
      <c r="M200" s="2466"/>
      <c r="N200" s="2466"/>
      <c r="O200" s="2466"/>
      <c r="P200" s="2466"/>
      <c r="Q200" s="2466"/>
      <c r="R200" s="2466"/>
      <c r="S200" s="2466"/>
      <c r="T200" s="2466"/>
      <c r="U200" s="2466"/>
      <c r="V200" s="2466"/>
      <c r="W200" s="2466"/>
      <c r="X200" s="2466"/>
      <c r="Y200" s="2466"/>
      <c r="Z200" s="2466"/>
      <c r="AA200" s="2466"/>
      <c r="AB200" s="2466"/>
      <c r="AC200" s="845"/>
      <c r="AD200" s="2467">
        <f>Application!AO629</f>
        <v>20000000</v>
      </c>
      <c r="AE200" s="2467"/>
      <c r="AF200" s="2467"/>
      <c r="AG200" s="2467"/>
      <c r="AH200" s="2467"/>
      <c r="AI200" s="2467"/>
      <c r="AJ200" s="2467"/>
      <c r="AK200" s="609"/>
    </row>
    <row r="201" spans="1:40">
      <c r="A201" s="604"/>
      <c r="B201" s="2466"/>
      <c r="C201" s="2466"/>
      <c r="D201" s="2466"/>
      <c r="E201" s="2466"/>
      <c r="F201" s="2466"/>
      <c r="G201" s="2466"/>
      <c r="H201" s="2466"/>
      <c r="I201" s="2466"/>
      <c r="J201" s="2466"/>
      <c r="K201" s="2466"/>
      <c r="L201" s="2466"/>
      <c r="M201" s="2466"/>
      <c r="N201" s="2466"/>
      <c r="O201" s="2466"/>
      <c r="P201" s="2466"/>
      <c r="Q201" s="2466"/>
      <c r="R201" s="2466"/>
      <c r="S201" s="2466"/>
      <c r="T201" s="2466"/>
      <c r="U201" s="2466"/>
      <c r="V201" s="2466"/>
      <c r="W201" s="2466"/>
      <c r="X201" s="2466"/>
      <c r="Y201" s="2466"/>
      <c r="Z201" s="2466"/>
      <c r="AA201" s="2466"/>
      <c r="AB201" s="2466"/>
      <c r="AC201" s="845"/>
      <c r="AD201" s="2467"/>
      <c r="AE201" s="2467"/>
      <c r="AF201" s="2467"/>
      <c r="AG201" s="2467"/>
      <c r="AH201" s="2467"/>
      <c r="AI201" s="2467"/>
      <c r="AJ201" s="2467"/>
      <c r="AK201" s="609"/>
    </row>
    <row r="202" spans="1:40">
      <c r="A202" s="604"/>
      <c r="B202" s="2466"/>
      <c r="C202" s="2466"/>
      <c r="D202" s="2466"/>
      <c r="E202" s="2466"/>
      <c r="F202" s="2466"/>
      <c r="G202" s="2466"/>
      <c r="H202" s="2466"/>
      <c r="I202" s="2466"/>
      <c r="J202" s="2466"/>
      <c r="K202" s="2466"/>
      <c r="L202" s="2466"/>
      <c r="M202" s="2466"/>
      <c r="N202" s="2466"/>
      <c r="O202" s="2466"/>
      <c r="P202" s="2466"/>
      <c r="Q202" s="2466"/>
      <c r="R202" s="2466"/>
      <c r="S202" s="2466"/>
      <c r="T202" s="2466"/>
      <c r="U202" s="2466"/>
      <c r="V202" s="2466"/>
      <c r="W202" s="2466"/>
      <c r="X202" s="2466"/>
      <c r="Y202" s="2466"/>
      <c r="Z202" s="2466"/>
      <c r="AA202" s="2466"/>
      <c r="AB202" s="2466"/>
      <c r="AC202" s="845"/>
      <c r="AD202" s="2467"/>
      <c r="AE202" s="2467"/>
      <c r="AF202" s="2467"/>
      <c r="AG202" s="2467"/>
      <c r="AH202" s="2467"/>
      <c r="AI202" s="2467"/>
      <c r="AJ202" s="2467"/>
      <c r="AK202" s="609"/>
    </row>
    <row r="203" spans="1:40">
      <c r="A203" s="604"/>
      <c r="B203" s="2466"/>
      <c r="C203" s="2466"/>
      <c r="D203" s="2466"/>
      <c r="E203" s="2466"/>
      <c r="F203" s="2466"/>
      <c r="G203" s="2466"/>
      <c r="H203" s="2466"/>
      <c r="I203" s="2466"/>
      <c r="J203" s="2466"/>
      <c r="K203" s="2466"/>
      <c r="L203" s="2466"/>
      <c r="M203" s="2466"/>
      <c r="N203" s="2466"/>
      <c r="O203" s="2466"/>
      <c r="P203" s="2466"/>
      <c r="Q203" s="2466"/>
      <c r="R203" s="2466"/>
      <c r="S203" s="2466"/>
      <c r="T203" s="2466"/>
      <c r="U203" s="2466"/>
      <c r="V203" s="2466"/>
      <c r="W203" s="2466"/>
      <c r="X203" s="2466"/>
      <c r="Y203" s="2466"/>
      <c r="Z203" s="2466"/>
      <c r="AA203" s="2466"/>
      <c r="AB203" s="2466"/>
      <c r="AC203" s="845"/>
      <c r="AD203" s="2467"/>
      <c r="AE203" s="2467"/>
      <c r="AF203" s="2467"/>
      <c r="AG203" s="2467"/>
      <c r="AH203" s="2467"/>
      <c r="AI203" s="2467"/>
      <c r="AJ203" s="2467"/>
      <c r="AK203" s="609"/>
    </row>
    <row r="204" spans="1:40">
      <c r="A204" s="604"/>
      <c r="B204" s="2466"/>
      <c r="C204" s="2466"/>
      <c r="D204" s="2466"/>
      <c r="E204" s="2466"/>
      <c r="F204" s="2466"/>
      <c r="G204" s="2466"/>
      <c r="H204" s="2466"/>
      <c r="I204" s="2466"/>
      <c r="J204" s="2466"/>
      <c r="K204" s="2466"/>
      <c r="L204" s="2466"/>
      <c r="M204" s="2466"/>
      <c r="N204" s="2466"/>
      <c r="O204" s="2466"/>
      <c r="P204" s="2466"/>
      <c r="Q204" s="2466"/>
      <c r="R204" s="2466"/>
      <c r="S204" s="2466"/>
      <c r="T204" s="2466"/>
      <c r="U204" s="2466"/>
      <c r="V204" s="2466"/>
      <c r="W204" s="2466"/>
      <c r="X204" s="2466"/>
      <c r="Y204" s="2466"/>
      <c r="Z204" s="2466"/>
      <c r="AA204" s="2466"/>
      <c r="AB204" s="2466"/>
      <c r="AC204" s="845"/>
      <c r="AD204" s="2467"/>
      <c r="AE204" s="2467"/>
      <c r="AF204" s="2467"/>
      <c r="AG204" s="2467"/>
      <c r="AH204" s="2467"/>
      <c r="AI204" s="2467"/>
      <c r="AJ204" s="2467"/>
      <c r="AK204" s="609"/>
    </row>
    <row r="205" spans="1:40">
      <c r="A205" s="604"/>
      <c r="B205" s="2466"/>
      <c r="C205" s="2466"/>
      <c r="D205" s="2466"/>
      <c r="E205" s="2466"/>
      <c r="F205" s="2466"/>
      <c r="G205" s="2466"/>
      <c r="H205" s="2466"/>
      <c r="I205" s="2466"/>
      <c r="J205" s="2466"/>
      <c r="K205" s="2466"/>
      <c r="L205" s="2466"/>
      <c r="M205" s="2466"/>
      <c r="N205" s="2466"/>
      <c r="O205" s="2466"/>
      <c r="P205" s="2466"/>
      <c r="Q205" s="2466"/>
      <c r="R205" s="2466"/>
      <c r="S205" s="2466"/>
      <c r="T205" s="2466"/>
      <c r="U205" s="2466"/>
      <c r="V205" s="2466"/>
      <c r="W205" s="2466"/>
      <c r="X205" s="2466"/>
      <c r="Y205" s="2466"/>
      <c r="Z205" s="2466"/>
      <c r="AA205" s="2466"/>
      <c r="AB205" s="2466"/>
      <c r="AC205" s="845"/>
      <c r="AD205" s="2467"/>
      <c r="AE205" s="2467"/>
      <c r="AF205" s="2467"/>
      <c r="AG205" s="2467"/>
      <c r="AH205" s="2467"/>
      <c r="AI205" s="2467"/>
      <c r="AJ205" s="2467"/>
      <c r="AK205" s="609"/>
    </row>
    <row r="206" spans="1:40">
      <c r="A206" s="604"/>
      <c r="B206" s="2466"/>
      <c r="C206" s="2466"/>
      <c r="D206" s="2466"/>
      <c r="E206" s="2466"/>
      <c r="F206" s="2466"/>
      <c r="G206" s="2466"/>
      <c r="H206" s="2466"/>
      <c r="I206" s="2466"/>
      <c r="J206" s="2466"/>
      <c r="K206" s="2466"/>
      <c r="L206" s="2466"/>
      <c r="M206" s="2466"/>
      <c r="N206" s="2466"/>
      <c r="O206" s="2466"/>
      <c r="P206" s="2466"/>
      <c r="Q206" s="2466"/>
      <c r="R206" s="2466"/>
      <c r="S206" s="2466"/>
      <c r="T206" s="2466"/>
      <c r="U206" s="2466"/>
      <c r="V206" s="2466"/>
      <c r="W206" s="2466"/>
      <c r="X206" s="2466"/>
      <c r="Y206" s="2466"/>
      <c r="Z206" s="2466"/>
      <c r="AA206" s="2466"/>
      <c r="AB206" s="2466"/>
      <c r="AC206" s="845"/>
      <c r="AD206" s="2467"/>
      <c r="AE206" s="2467"/>
      <c r="AF206" s="2467"/>
      <c r="AG206" s="2467"/>
      <c r="AH206" s="2467"/>
      <c r="AI206" s="2467"/>
      <c r="AJ206" s="2467"/>
      <c r="AK206" s="609"/>
    </row>
    <row r="207" spans="1:40">
      <c r="A207" s="604"/>
      <c r="B207" s="2466"/>
      <c r="C207" s="2466"/>
      <c r="D207" s="2466"/>
      <c r="E207" s="2466"/>
      <c r="F207" s="2466"/>
      <c r="G207" s="2466"/>
      <c r="H207" s="2466"/>
      <c r="I207" s="2466"/>
      <c r="J207" s="2466"/>
      <c r="K207" s="2466"/>
      <c r="L207" s="2466"/>
      <c r="M207" s="2466"/>
      <c r="N207" s="2466"/>
      <c r="O207" s="2466"/>
      <c r="P207" s="2466"/>
      <c r="Q207" s="2466"/>
      <c r="R207" s="2466"/>
      <c r="S207" s="2466"/>
      <c r="T207" s="2466"/>
      <c r="U207" s="2466"/>
      <c r="V207" s="2466"/>
      <c r="W207" s="2466"/>
      <c r="X207" s="2466"/>
      <c r="Y207" s="2466"/>
      <c r="Z207" s="2466"/>
      <c r="AA207" s="2466"/>
      <c r="AB207" s="2466"/>
      <c r="AC207" s="845"/>
      <c r="AD207" s="2467"/>
      <c r="AE207" s="2467"/>
      <c r="AF207" s="2467"/>
      <c r="AG207" s="2467"/>
      <c r="AH207" s="2467"/>
      <c r="AI207" s="2467"/>
      <c r="AJ207" s="2467"/>
      <c r="AK207" s="609"/>
    </row>
    <row r="208" spans="1:40">
      <c r="A208" s="604"/>
      <c r="B208" s="2466"/>
      <c r="C208" s="2466"/>
      <c r="D208" s="2466"/>
      <c r="E208" s="2466"/>
      <c r="F208" s="2466"/>
      <c r="G208" s="2466"/>
      <c r="H208" s="2466"/>
      <c r="I208" s="2466"/>
      <c r="J208" s="2466"/>
      <c r="K208" s="2466"/>
      <c r="L208" s="2466"/>
      <c r="M208" s="2466"/>
      <c r="N208" s="2466"/>
      <c r="O208" s="2466"/>
      <c r="P208" s="2466"/>
      <c r="Q208" s="2466"/>
      <c r="R208" s="2466"/>
      <c r="S208" s="2466"/>
      <c r="T208" s="2466"/>
      <c r="U208" s="2466"/>
      <c r="V208" s="2466"/>
      <c r="W208" s="2466"/>
      <c r="X208" s="2466"/>
      <c r="Y208" s="2466"/>
      <c r="Z208" s="2466"/>
      <c r="AA208" s="2466"/>
      <c r="AB208" s="2466"/>
      <c r="AC208" s="845"/>
      <c r="AD208" s="2467"/>
      <c r="AE208" s="2467"/>
      <c r="AF208" s="2467"/>
      <c r="AG208" s="2467"/>
      <c r="AH208" s="2467"/>
      <c r="AI208" s="2467"/>
      <c r="AJ208" s="2467"/>
      <c r="AK208" s="609"/>
    </row>
    <row r="209" spans="1:37">
      <c r="A209" s="604"/>
      <c r="B209" s="2477" t="s">
        <v>1628</v>
      </c>
      <c r="C209" s="2477"/>
      <c r="D209" s="2477"/>
      <c r="E209" s="2477"/>
      <c r="F209" s="2477"/>
      <c r="G209" s="2477"/>
      <c r="H209" s="2477"/>
      <c r="I209" s="2477"/>
      <c r="J209" s="2477"/>
      <c r="K209" s="2477"/>
      <c r="L209" s="2477"/>
      <c r="M209" s="2477"/>
      <c r="N209" s="2477"/>
      <c r="O209" s="2477"/>
      <c r="P209" s="2477"/>
      <c r="Q209" s="2477"/>
      <c r="R209" s="2477"/>
      <c r="S209" s="2477"/>
      <c r="T209" s="2477"/>
      <c r="U209" s="2477"/>
      <c r="V209" s="2477"/>
      <c r="W209" s="2477"/>
      <c r="X209" s="2477"/>
      <c r="Y209" s="2477"/>
      <c r="Z209" s="2477"/>
      <c r="AA209" s="2477"/>
      <c r="AB209" s="2477"/>
      <c r="AC209" s="535"/>
      <c r="AD209" s="2496">
        <f>AB260</f>
        <v>9086323.0905452128</v>
      </c>
      <c r="AE209" s="2496"/>
      <c r="AF209" s="2496"/>
      <c r="AG209" s="2496"/>
      <c r="AH209" s="2496"/>
      <c r="AI209" s="2496"/>
      <c r="AJ209" s="2496"/>
      <c r="AK209" s="609"/>
    </row>
    <row r="210" spans="1:37">
      <c r="A210" s="604"/>
      <c r="B210" s="2623" t="s">
        <v>1591</v>
      </c>
      <c r="C210" s="2623"/>
      <c r="D210" s="2623"/>
      <c r="E210" s="2623"/>
      <c r="F210" s="2623"/>
      <c r="G210" s="2623"/>
      <c r="H210" s="2623"/>
      <c r="I210" s="2623"/>
      <c r="J210" s="2623"/>
      <c r="K210" s="2623"/>
      <c r="L210" s="2623"/>
      <c r="M210" s="2623"/>
      <c r="N210" s="2623"/>
      <c r="O210" s="2623"/>
      <c r="P210" s="2623"/>
      <c r="Q210" s="2623"/>
      <c r="R210" s="2623"/>
      <c r="S210" s="2623"/>
      <c r="T210" s="2623"/>
      <c r="U210" s="2623"/>
      <c r="V210" s="2623"/>
      <c r="W210" s="2623"/>
      <c r="X210" s="2623"/>
      <c r="Y210" s="2623"/>
      <c r="Z210" s="2623"/>
      <c r="AA210" s="2623"/>
      <c r="AB210" s="2623"/>
      <c r="AC210" s="845"/>
      <c r="AD210" s="2497">
        <f>'Sources and Uses Budget'!B15</f>
        <v>0</v>
      </c>
      <c r="AE210" s="2497"/>
      <c r="AF210" s="2497"/>
      <c r="AG210" s="2497"/>
      <c r="AH210" s="2497"/>
      <c r="AI210" s="2497"/>
      <c r="AJ210" s="2497"/>
      <c r="AK210" s="609"/>
    </row>
    <row r="211" spans="1:37">
      <c r="A211" s="604"/>
      <c r="B211" s="446"/>
      <c r="C211" s="446"/>
      <c r="D211" s="446"/>
      <c r="E211" s="446"/>
      <c r="F211" s="446"/>
      <c r="G211" s="446"/>
      <c r="H211" s="446"/>
      <c r="I211" s="446"/>
      <c r="J211" s="446"/>
      <c r="K211" s="446"/>
      <c r="L211" s="446"/>
      <c r="M211" s="446"/>
      <c r="N211" s="446"/>
      <c r="O211" s="446"/>
      <c r="P211" s="446"/>
      <c r="Q211" s="446"/>
      <c r="R211" s="446"/>
      <c r="S211" s="446"/>
      <c r="T211" s="446"/>
      <c r="U211" s="446"/>
      <c r="V211" s="446"/>
      <c r="W211" s="446"/>
      <c r="X211" s="446"/>
      <c r="Y211" s="446"/>
      <c r="Z211" s="446"/>
      <c r="AA211" s="446"/>
      <c r="AB211" s="622" t="s">
        <v>900</v>
      </c>
      <c r="AC211" s="535"/>
      <c r="AD211" s="2501">
        <f>SUM(AD199:AJ209)-AD210</f>
        <v>39086323.090545215</v>
      </c>
      <c r="AE211" s="2501"/>
      <c r="AF211" s="2501"/>
      <c r="AG211" s="2501"/>
      <c r="AH211" s="2501"/>
      <c r="AI211" s="2501"/>
      <c r="AJ211" s="2501"/>
      <c r="AK211" s="609"/>
    </row>
    <row r="212" spans="1:37">
      <c r="A212" s="604"/>
      <c r="B212" s="604"/>
      <c r="C212" s="662"/>
      <c r="D212" s="826"/>
      <c r="E212" s="826"/>
      <c r="F212" s="826"/>
      <c r="G212" s="826"/>
      <c r="H212" s="826"/>
      <c r="I212" s="826"/>
      <c r="J212" s="826"/>
      <c r="K212" s="535"/>
      <c r="L212" s="535"/>
      <c r="M212" s="535"/>
      <c r="N212" s="535"/>
      <c r="O212" s="535"/>
      <c r="P212" s="535"/>
      <c r="Q212" s="535"/>
      <c r="R212" s="535"/>
      <c r="S212" s="535"/>
      <c r="T212" s="535"/>
      <c r="U212" s="535"/>
      <c r="V212" s="535"/>
      <c r="W212" s="535"/>
      <c r="X212" s="535"/>
      <c r="Y212" s="642"/>
      <c r="Z212" s="642"/>
      <c r="AA212" s="642"/>
      <c r="AB212" s="642"/>
      <c r="AC212" s="535"/>
      <c r="AD212" s="535"/>
      <c r="AE212" s="609"/>
      <c r="AF212" s="609"/>
      <c r="AG212" s="609"/>
      <c r="AH212" s="609"/>
      <c r="AI212" s="609"/>
      <c r="AJ212" s="609"/>
      <c r="AK212" s="609"/>
    </row>
    <row r="213" spans="1:37">
      <c r="A213" s="604"/>
      <c r="B213" s="497" t="s">
        <v>1596</v>
      </c>
      <c r="C213" s="662"/>
      <c r="D213" s="826"/>
      <c r="E213" s="826"/>
      <c r="F213" s="826"/>
      <c r="G213" s="826"/>
      <c r="H213" s="826"/>
      <c r="I213" s="826"/>
      <c r="J213" s="826"/>
      <c r="K213" s="535"/>
      <c r="L213" s="535"/>
      <c r="M213" s="535"/>
      <c r="N213" s="535"/>
      <c r="O213" s="535"/>
      <c r="P213" s="535"/>
      <c r="Q213" s="535"/>
      <c r="R213" s="535"/>
      <c r="S213" s="535"/>
      <c r="T213" s="535"/>
      <c r="U213" s="535"/>
      <c r="V213" s="535"/>
      <c r="W213" s="535"/>
      <c r="X213" s="535"/>
      <c r="Y213" s="642"/>
      <c r="Z213" s="642"/>
      <c r="AA213" s="642"/>
      <c r="AB213" s="642"/>
      <c r="AC213" s="535"/>
      <c r="AD213" s="535"/>
      <c r="AE213" s="609"/>
      <c r="AF213" s="609"/>
      <c r="AG213" s="609"/>
      <c r="AH213" s="609"/>
      <c r="AI213" s="609"/>
      <c r="AJ213" s="609"/>
      <c r="AK213" s="609"/>
    </row>
    <row r="214" spans="1:37">
      <c r="A214" s="604"/>
      <c r="B214" s="475" t="s">
        <v>1627</v>
      </c>
      <c r="C214" s="662"/>
      <c r="D214" s="826"/>
      <c r="E214" s="826"/>
      <c r="F214" s="826"/>
      <c r="G214" s="826"/>
      <c r="H214" s="826"/>
      <c r="I214" s="826"/>
      <c r="J214" s="826"/>
      <c r="K214" s="535"/>
      <c r="L214" s="535"/>
      <c r="M214" s="535"/>
      <c r="N214" s="535"/>
      <c r="O214" s="535"/>
      <c r="P214" s="535"/>
      <c r="Q214" s="535"/>
      <c r="R214" s="535"/>
      <c r="S214" s="535"/>
      <c r="T214" s="535"/>
      <c r="U214" s="535"/>
      <c r="V214" s="535"/>
      <c r="W214" s="535"/>
      <c r="X214" s="535"/>
      <c r="Y214" s="642"/>
      <c r="Z214" s="642"/>
      <c r="AA214" s="642"/>
      <c r="AB214" s="642"/>
      <c r="AC214" s="535"/>
      <c r="AD214" s="535"/>
      <c r="AE214" s="609"/>
      <c r="AF214" s="609"/>
      <c r="AG214" s="609"/>
      <c r="AH214" s="609"/>
      <c r="AI214" s="609"/>
      <c r="AJ214" s="609"/>
      <c r="AK214" s="609"/>
    </row>
    <row r="215" spans="1:37">
      <c r="A215" s="853"/>
      <c r="B215" s="876" t="s">
        <v>1598</v>
      </c>
      <c r="C215" s="877"/>
      <c r="D215" s="878"/>
      <c r="E215" s="878"/>
      <c r="F215" s="878"/>
      <c r="G215" s="878"/>
      <c r="H215" s="878"/>
      <c r="I215" s="878"/>
      <c r="J215" s="878"/>
      <c r="K215" s="879"/>
      <c r="L215" s="879"/>
      <c r="M215" s="879"/>
      <c r="N215" s="879"/>
      <c r="O215" s="879"/>
      <c r="P215" s="879"/>
      <c r="Q215" s="879"/>
      <c r="R215" s="879"/>
      <c r="S215" s="743"/>
      <c r="T215" s="743"/>
      <c r="U215" s="743"/>
      <c r="V215" s="743"/>
      <c r="W215" s="743"/>
      <c r="X215" s="743"/>
      <c r="Y215" s="827"/>
      <c r="Z215" s="827"/>
      <c r="AA215" s="827"/>
      <c r="AB215" s="827"/>
      <c r="AC215" s="743"/>
      <c r="AD215" s="743"/>
      <c r="AE215" s="828"/>
      <c r="AF215" s="828"/>
      <c r="AG215" s="828"/>
      <c r="AH215" s="828"/>
      <c r="AI215" s="828"/>
      <c r="AJ215" s="829"/>
      <c r="AK215" s="609"/>
    </row>
    <row r="216" spans="1:37">
      <c r="A216" s="853"/>
      <c r="B216" s="880" t="s">
        <v>1599</v>
      </c>
      <c r="C216" s="881"/>
      <c r="D216" s="882"/>
      <c r="E216" s="882"/>
      <c r="F216" s="882"/>
      <c r="G216" s="882"/>
      <c r="H216" s="882"/>
      <c r="I216" s="882"/>
      <c r="J216" s="882"/>
      <c r="K216" s="883"/>
      <c r="L216" s="883"/>
      <c r="M216" s="883"/>
      <c r="N216" s="883"/>
      <c r="O216" s="883"/>
      <c r="P216" s="883"/>
      <c r="Q216" s="883"/>
      <c r="R216" s="883"/>
      <c r="S216" s="535"/>
      <c r="T216" s="535"/>
      <c r="U216" s="535"/>
      <c r="V216" s="535"/>
      <c r="W216" s="535"/>
      <c r="X216" s="535"/>
      <c r="Y216" s="642"/>
      <c r="Z216" s="642"/>
      <c r="AA216" s="642"/>
      <c r="AB216" s="642"/>
      <c r="AC216" s="535"/>
      <c r="AD216" s="535"/>
      <c r="AE216" s="609"/>
      <c r="AF216" s="609"/>
      <c r="AG216" s="609"/>
      <c r="AH216" s="609"/>
      <c r="AI216" s="609"/>
      <c r="AJ216" s="830"/>
      <c r="AK216" s="609"/>
    </row>
    <row r="217" spans="1:37">
      <c r="A217" s="853"/>
      <c r="B217" s="880" t="s">
        <v>2025</v>
      </c>
      <c r="C217" s="881"/>
      <c r="D217" s="882"/>
      <c r="E217" s="882"/>
      <c r="F217" s="882"/>
      <c r="G217" s="882"/>
      <c r="H217" s="882"/>
      <c r="I217" s="882"/>
      <c r="J217" s="882"/>
      <c r="K217" s="883"/>
      <c r="L217" s="883"/>
      <c r="M217" s="883"/>
      <c r="N217" s="883"/>
      <c r="O217" s="883"/>
      <c r="P217" s="883"/>
      <c r="Q217" s="883"/>
      <c r="R217" s="883"/>
      <c r="S217" s="535"/>
      <c r="T217" s="535"/>
      <c r="U217" s="535"/>
      <c r="V217" s="535"/>
      <c r="W217" s="535"/>
      <c r="X217" s="535"/>
      <c r="Y217" s="642"/>
      <c r="Z217" s="642"/>
      <c r="AA217" s="642"/>
      <c r="AB217" s="642"/>
      <c r="AC217" s="535"/>
      <c r="AD217" s="535"/>
      <c r="AE217" s="609"/>
      <c r="AF217" s="609"/>
      <c r="AG217" s="609"/>
      <c r="AH217" s="609"/>
      <c r="AI217" s="609"/>
      <c r="AJ217" s="830"/>
      <c r="AK217" s="609"/>
    </row>
    <row r="218" spans="1:37">
      <c r="A218" s="853"/>
      <c r="B218" s="880" t="s">
        <v>1600</v>
      </c>
      <c r="C218" s="881"/>
      <c r="D218" s="882"/>
      <c r="E218" s="882"/>
      <c r="F218" s="882"/>
      <c r="G218" s="882"/>
      <c r="H218" s="882"/>
      <c r="I218" s="882"/>
      <c r="J218" s="882"/>
      <c r="K218" s="883"/>
      <c r="L218" s="883"/>
      <c r="M218" s="883"/>
      <c r="N218" s="883"/>
      <c r="O218" s="883"/>
      <c r="P218" s="883"/>
      <c r="Q218" s="883"/>
      <c r="R218" s="883"/>
      <c r="S218" s="535"/>
      <c r="T218" s="535"/>
      <c r="U218" s="535"/>
      <c r="V218" s="535"/>
      <c r="W218" s="535"/>
      <c r="X218" s="535"/>
      <c r="Y218" s="642"/>
      <c r="Z218" s="642"/>
      <c r="AA218" s="642"/>
      <c r="AB218" s="642"/>
      <c r="AC218" s="535"/>
      <c r="AD218" s="535"/>
      <c r="AE218" s="609"/>
      <c r="AF218" s="609"/>
      <c r="AG218" s="609"/>
      <c r="AH218" s="609"/>
      <c r="AI218" s="609"/>
      <c r="AJ218" s="830"/>
      <c r="AK218" s="609"/>
    </row>
    <row r="219" spans="1:37">
      <c r="A219" s="853"/>
      <c r="B219" s="884" t="s">
        <v>1601</v>
      </c>
      <c r="C219" s="881"/>
      <c r="D219" s="882"/>
      <c r="E219" s="882"/>
      <c r="F219" s="882"/>
      <c r="G219" s="882"/>
      <c r="H219" s="882"/>
      <c r="I219" s="882"/>
      <c r="J219" s="882"/>
      <c r="K219" s="883"/>
      <c r="L219" s="883"/>
      <c r="M219" s="883"/>
      <c r="N219" s="883"/>
      <c r="O219" s="883"/>
      <c r="P219" s="883"/>
      <c r="Q219" s="883"/>
      <c r="R219" s="883"/>
      <c r="S219" s="535"/>
      <c r="T219" s="535"/>
      <c r="U219" s="535"/>
      <c r="V219" s="535"/>
      <c r="W219" s="535"/>
      <c r="X219" s="535"/>
      <c r="Y219" s="642"/>
      <c r="Z219" s="642"/>
      <c r="AA219" s="642"/>
      <c r="AB219" s="642"/>
      <c r="AC219" s="535"/>
      <c r="AD219" s="535"/>
      <c r="AE219" s="609"/>
      <c r="AF219" s="609"/>
      <c r="AG219" s="609"/>
      <c r="AH219" s="609"/>
      <c r="AI219" s="609"/>
      <c r="AJ219" s="830"/>
      <c r="AK219" s="609"/>
    </row>
    <row r="220" spans="1:37">
      <c r="A220" s="853"/>
      <c r="B220" s="885" t="s">
        <v>1637</v>
      </c>
      <c r="C220" s="886"/>
      <c r="D220" s="887"/>
      <c r="E220" s="887"/>
      <c r="F220" s="887"/>
      <c r="G220" s="887"/>
      <c r="H220" s="887"/>
      <c r="I220" s="887"/>
      <c r="J220" s="887"/>
      <c r="K220" s="888"/>
      <c r="L220" s="888"/>
      <c r="M220" s="888"/>
      <c r="N220" s="888"/>
      <c r="O220" s="888"/>
      <c r="P220" s="888"/>
      <c r="Q220" s="888"/>
      <c r="R220" s="888"/>
      <c r="S220" s="736"/>
      <c r="T220" s="736"/>
      <c r="U220" s="736"/>
      <c r="V220" s="736"/>
      <c r="W220" s="736"/>
      <c r="X220" s="736"/>
      <c r="Y220" s="831"/>
      <c r="Z220" s="831"/>
      <c r="AA220" s="831"/>
      <c r="AB220" s="831"/>
      <c r="AC220" s="736"/>
      <c r="AD220" s="736"/>
      <c r="AE220" s="832"/>
      <c r="AF220" s="832"/>
      <c r="AG220" s="832"/>
      <c r="AH220" s="832"/>
      <c r="AI220" s="832"/>
      <c r="AJ220" s="833"/>
      <c r="AK220" s="609"/>
    </row>
    <row r="221" spans="1:37">
      <c r="A221" s="604"/>
      <c r="B221" s="604"/>
      <c r="C221" s="662"/>
      <c r="D221" s="826"/>
      <c r="E221" s="826"/>
      <c r="F221" s="826"/>
      <c r="G221" s="826"/>
      <c r="H221" s="826"/>
      <c r="I221" s="826"/>
      <c r="J221" s="826"/>
      <c r="K221" s="535"/>
      <c r="L221" s="535"/>
      <c r="M221" s="535"/>
      <c r="N221" s="535"/>
      <c r="O221" s="535"/>
      <c r="P221" s="535"/>
      <c r="Q221" s="535"/>
      <c r="R221" s="535"/>
      <c r="S221" s="535"/>
      <c r="T221" s="535"/>
      <c r="U221" s="535"/>
      <c r="V221" s="535"/>
      <c r="W221" s="535"/>
      <c r="X221" s="535"/>
      <c r="Y221" s="642"/>
      <c r="Z221" s="642"/>
      <c r="AA221" s="642"/>
      <c r="AB221" s="642"/>
      <c r="AC221" s="535"/>
      <c r="AD221" s="535"/>
      <c r="AE221" s="609"/>
      <c r="AF221" s="609"/>
      <c r="AG221" s="609"/>
      <c r="AH221" s="609"/>
      <c r="AI221" s="609"/>
      <c r="AJ221" s="609"/>
      <c r="AK221" s="609"/>
    </row>
    <row r="222" spans="1:37">
      <c r="A222" s="604"/>
      <c r="B222" s="847"/>
      <c r="C222" s="475"/>
      <c r="D222" s="475"/>
      <c r="I222" s="2470" t="s">
        <v>1608</v>
      </c>
      <c r="J222" s="2470"/>
      <c r="K222" s="2470"/>
      <c r="L222" s="535"/>
      <c r="M222" s="535"/>
      <c r="N222" s="535"/>
      <c r="O222" s="535"/>
      <c r="P222" s="535"/>
      <c r="Q222" s="535"/>
      <c r="R222" s="535"/>
      <c r="S222" s="535"/>
      <c r="T222" s="2658" t="s">
        <v>1602</v>
      </c>
      <c r="U222" s="2658"/>
      <c r="V222" s="2658"/>
      <c r="W222" s="2658"/>
      <c r="X222" s="2658"/>
      <c r="Y222" s="2658"/>
      <c r="Z222" s="848"/>
      <c r="AA222" s="488"/>
      <c r="AB222" s="2465" t="s">
        <v>1603</v>
      </c>
      <c r="AC222" s="2465"/>
      <c r="AD222" s="2465"/>
      <c r="AE222" s="2465"/>
      <c r="AF222" s="2465"/>
      <c r="AG222" s="2465"/>
      <c r="AH222" s="826"/>
      <c r="AI222" s="826"/>
      <c r="AJ222" s="826"/>
      <c r="AK222" s="609"/>
    </row>
    <row r="223" spans="1:37">
      <c r="A223" s="604"/>
      <c r="B223" s="2468" t="s">
        <v>1588</v>
      </c>
      <c r="C223" s="2468"/>
      <c r="D223" s="2468"/>
      <c r="E223" s="2468"/>
      <c r="F223" s="2468"/>
      <c r="G223" s="2468"/>
      <c r="I223" s="2469" t="s">
        <v>1609</v>
      </c>
      <c r="J223" s="2469"/>
      <c r="K223" s="2469"/>
      <c r="L223" s="1007"/>
      <c r="N223" s="2475" t="s">
        <v>1604</v>
      </c>
      <c r="O223" s="2475"/>
      <c r="P223" s="2475"/>
      <c r="Q223" s="2475"/>
      <c r="R223" s="2475"/>
      <c r="T223" s="2475" t="s">
        <v>1605</v>
      </c>
      <c r="U223" s="2475"/>
      <c r="V223" s="2475"/>
      <c r="W223" s="2475"/>
      <c r="X223" s="2475"/>
      <c r="Y223" s="2475"/>
      <c r="Z223" s="849"/>
      <c r="AA223" s="488"/>
      <c r="AB223" s="2612" t="s">
        <v>1606</v>
      </c>
      <c r="AC223" s="2612"/>
      <c r="AD223" s="2612"/>
      <c r="AE223" s="2612"/>
      <c r="AF223" s="2612"/>
      <c r="AG223" s="2612"/>
      <c r="AH223" s="826"/>
      <c r="AI223" s="826"/>
      <c r="AJ223" s="826"/>
      <c r="AK223" s="609"/>
    </row>
    <row r="224" spans="1:37">
      <c r="A224" s="604"/>
      <c r="B224" s="2472" t="s">
        <v>324</v>
      </c>
      <c r="C224" s="2472"/>
      <c r="D224" s="2472"/>
      <c r="E224" s="2472"/>
      <c r="F224" s="2472"/>
      <c r="G224" s="2472"/>
      <c r="H224" s="851"/>
      <c r="I224" s="2471">
        <v>60</v>
      </c>
      <c r="J224" s="2471"/>
      <c r="K224" s="2471"/>
      <c r="L224" s="1007"/>
      <c r="N224" s="2476">
        <f>Application!O718</f>
        <v>721</v>
      </c>
      <c r="O224" s="2476"/>
      <c r="P224" s="2476"/>
      <c r="Q224" s="2476"/>
      <c r="R224" s="2476"/>
      <c r="T224" s="2624">
        <f>'Subsidy Contract Calculation'!F4</f>
        <v>1766</v>
      </c>
      <c r="U224" s="2624"/>
      <c r="V224" s="2624"/>
      <c r="W224" s="2624"/>
      <c r="X224" s="2624"/>
      <c r="Y224" s="2624"/>
      <c r="Z224" s="850"/>
      <c r="AA224" s="850"/>
      <c r="AB224" s="2473">
        <f t="shared" ref="AB224:AB233" si="0">MAX(($T224-$N224)*$I224*12,0)</f>
        <v>752400</v>
      </c>
      <c r="AC224" s="2473"/>
      <c r="AD224" s="2473"/>
      <c r="AE224" s="2473"/>
      <c r="AF224" s="2473"/>
      <c r="AG224" s="2473"/>
      <c r="AH224" s="826"/>
      <c r="AI224" s="826"/>
      <c r="AJ224" s="826"/>
      <c r="AK224" s="609"/>
    </row>
    <row r="225" spans="1:37">
      <c r="A225" s="604"/>
      <c r="B225" s="2472" t="s">
        <v>2739</v>
      </c>
      <c r="C225" s="2472"/>
      <c r="D225" s="2472"/>
      <c r="E225" s="2472"/>
      <c r="F225" s="2472"/>
      <c r="G225" s="2472"/>
      <c r="I225" s="2471">
        <v>15</v>
      </c>
      <c r="J225" s="2471"/>
      <c r="K225" s="2471"/>
      <c r="L225" s="1007"/>
      <c r="N225" s="2476">
        <f>Application!O719</f>
        <v>755</v>
      </c>
      <c r="O225" s="2476"/>
      <c r="P225" s="2476"/>
      <c r="Q225" s="2476"/>
      <c r="R225" s="2476"/>
      <c r="T225" s="2624">
        <f>'Subsidy Contract Calculation'!F5</f>
        <v>1999</v>
      </c>
      <c r="U225" s="2624"/>
      <c r="V225" s="2624"/>
      <c r="W225" s="2624"/>
      <c r="X225" s="2624"/>
      <c r="Y225" s="2624"/>
      <c r="Z225" s="850"/>
      <c r="AA225" s="850"/>
      <c r="AB225" s="2473">
        <f t="shared" si="0"/>
        <v>223920</v>
      </c>
      <c r="AC225" s="2473"/>
      <c r="AD225" s="2473"/>
      <c r="AE225" s="2473"/>
      <c r="AF225" s="2473"/>
      <c r="AG225" s="2473"/>
      <c r="AH225" s="826"/>
      <c r="AI225" s="826"/>
      <c r="AJ225" s="826"/>
      <c r="AK225" s="609"/>
    </row>
    <row r="226" spans="1:37">
      <c r="A226" s="604"/>
      <c r="B226" s="2472" t="s">
        <v>1185</v>
      </c>
      <c r="C226" s="2472"/>
      <c r="D226" s="2472"/>
      <c r="E226" s="2472"/>
      <c r="F226" s="2472"/>
      <c r="G226" s="2472"/>
      <c r="I226" s="2471"/>
      <c r="J226" s="2471"/>
      <c r="K226" s="2471"/>
      <c r="L226" s="1007"/>
      <c r="N226" s="2476"/>
      <c r="O226" s="2476"/>
      <c r="P226" s="2476"/>
      <c r="Q226" s="2476"/>
      <c r="R226" s="2476"/>
      <c r="T226" s="2624"/>
      <c r="U226" s="2624"/>
      <c r="V226" s="2624"/>
      <c r="W226" s="2624"/>
      <c r="X226" s="2624"/>
      <c r="Y226" s="2624"/>
      <c r="Z226" s="850"/>
      <c r="AA226" s="850"/>
      <c r="AB226" s="2473">
        <f t="shared" si="0"/>
        <v>0</v>
      </c>
      <c r="AC226" s="2473"/>
      <c r="AD226" s="2473"/>
      <c r="AE226" s="2473"/>
      <c r="AF226" s="2473"/>
      <c r="AG226" s="2473"/>
      <c r="AH226" s="826"/>
      <c r="AI226" s="826"/>
      <c r="AJ226" s="826"/>
      <c r="AK226" s="609"/>
    </row>
    <row r="227" spans="1:37">
      <c r="A227" s="604"/>
      <c r="B227" s="2472" t="s">
        <v>1185</v>
      </c>
      <c r="C227" s="2472"/>
      <c r="D227" s="2472"/>
      <c r="E227" s="2472"/>
      <c r="F227" s="2472"/>
      <c r="G227" s="2472"/>
      <c r="I227" s="2471"/>
      <c r="J227" s="2471"/>
      <c r="K227" s="2471"/>
      <c r="L227" s="1007"/>
      <c r="N227" s="2476"/>
      <c r="O227" s="2476"/>
      <c r="P227" s="2476"/>
      <c r="Q227" s="2476"/>
      <c r="R227" s="2476"/>
      <c r="T227" s="2624"/>
      <c r="U227" s="2624"/>
      <c r="V227" s="2624"/>
      <c r="W227" s="2624"/>
      <c r="X227" s="2624"/>
      <c r="Y227" s="2624"/>
      <c r="Z227" s="850"/>
      <c r="AA227" s="850"/>
      <c r="AB227" s="2473">
        <f t="shared" si="0"/>
        <v>0</v>
      </c>
      <c r="AC227" s="2473"/>
      <c r="AD227" s="2473"/>
      <c r="AE227" s="2473"/>
      <c r="AF227" s="2473"/>
      <c r="AG227" s="2473"/>
      <c r="AH227" s="826"/>
      <c r="AI227" s="826"/>
      <c r="AJ227" s="826"/>
      <c r="AK227" s="609"/>
    </row>
    <row r="228" spans="1:37">
      <c r="A228" s="604"/>
      <c r="B228" s="2472" t="s">
        <v>1185</v>
      </c>
      <c r="C228" s="2472"/>
      <c r="D228" s="2472"/>
      <c r="E228" s="2472"/>
      <c r="F228" s="2472"/>
      <c r="G228" s="2472"/>
      <c r="I228" s="2471"/>
      <c r="J228" s="2471"/>
      <c r="K228" s="2471"/>
      <c r="L228" s="1014"/>
      <c r="N228" s="2476"/>
      <c r="O228" s="2476"/>
      <c r="P228" s="2476"/>
      <c r="Q228" s="2476"/>
      <c r="R228" s="2476"/>
      <c r="T228" s="2624"/>
      <c r="U228" s="2624"/>
      <c r="V228" s="2624"/>
      <c r="W228" s="2624"/>
      <c r="X228" s="2624"/>
      <c r="Y228" s="2624"/>
      <c r="Z228" s="850"/>
      <c r="AA228" s="850"/>
      <c r="AB228" s="2473">
        <f t="shared" si="0"/>
        <v>0</v>
      </c>
      <c r="AC228" s="2473"/>
      <c r="AD228" s="2473"/>
      <c r="AE228" s="2473"/>
      <c r="AF228" s="2473"/>
      <c r="AG228" s="2473"/>
      <c r="AH228" s="826"/>
      <c r="AI228" s="826"/>
      <c r="AJ228" s="826"/>
      <c r="AK228" s="609"/>
    </row>
    <row r="229" spans="1:37">
      <c r="A229" s="604"/>
      <c r="B229" s="2472" t="s">
        <v>1185</v>
      </c>
      <c r="C229" s="2472"/>
      <c r="D229" s="2472"/>
      <c r="E229" s="2472"/>
      <c r="F229" s="2472"/>
      <c r="G229" s="2472"/>
      <c r="I229" s="2471"/>
      <c r="J229" s="2471"/>
      <c r="K229" s="2471"/>
      <c r="L229" s="1014"/>
      <c r="N229" s="2476"/>
      <c r="O229" s="2476"/>
      <c r="P229" s="2476"/>
      <c r="Q229" s="2476"/>
      <c r="R229" s="2476"/>
      <c r="T229" s="2624"/>
      <c r="U229" s="2624"/>
      <c r="V229" s="2624"/>
      <c r="W229" s="2624"/>
      <c r="X229" s="2624"/>
      <c r="Y229" s="2624"/>
      <c r="Z229" s="850"/>
      <c r="AA229" s="850"/>
      <c r="AB229" s="2473">
        <f t="shared" si="0"/>
        <v>0</v>
      </c>
      <c r="AC229" s="2473"/>
      <c r="AD229" s="2473"/>
      <c r="AE229" s="2473"/>
      <c r="AF229" s="2473"/>
      <c r="AG229" s="2473"/>
      <c r="AH229" s="826"/>
      <c r="AI229" s="826"/>
      <c r="AJ229" s="826"/>
      <c r="AK229" s="609"/>
    </row>
    <row r="230" spans="1:37">
      <c r="A230" s="604"/>
      <c r="B230" s="2472" t="s">
        <v>1185</v>
      </c>
      <c r="C230" s="2472"/>
      <c r="D230" s="2472"/>
      <c r="E230" s="2472"/>
      <c r="F230" s="2472"/>
      <c r="G230" s="2472"/>
      <c r="I230" s="2471"/>
      <c r="J230" s="2471"/>
      <c r="K230" s="2471"/>
      <c r="L230" s="1014"/>
      <c r="N230" s="2476"/>
      <c r="O230" s="2476"/>
      <c r="P230" s="2476"/>
      <c r="Q230" s="2476"/>
      <c r="R230" s="2476"/>
      <c r="T230" s="2624"/>
      <c r="U230" s="2624"/>
      <c r="V230" s="2624"/>
      <c r="W230" s="2624"/>
      <c r="X230" s="2624"/>
      <c r="Y230" s="2624"/>
      <c r="Z230" s="850"/>
      <c r="AA230" s="850"/>
      <c r="AB230" s="2473">
        <f t="shared" si="0"/>
        <v>0</v>
      </c>
      <c r="AC230" s="2473"/>
      <c r="AD230" s="2473"/>
      <c r="AE230" s="2473"/>
      <c r="AF230" s="2473"/>
      <c r="AG230" s="2473"/>
      <c r="AH230" s="826"/>
      <c r="AI230" s="826"/>
      <c r="AJ230" s="826"/>
      <c r="AK230" s="609"/>
    </row>
    <row r="231" spans="1:37">
      <c r="A231" s="604"/>
      <c r="B231" s="2472" t="s">
        <v>1185</v>
      </c>
      <c r="C231" s="2472"/>
      <c r="D231" s="2472"/>
      <c r="E231" s="2472"/>
      <c r="F231" s="2472"/>
      <c r="G231" s="2472"/>
      <c r="I231" s="2471"/>
      <c r="J231" s="2471"/>
      <c r="K231" s="2471"/>
      <c r="L231" s="1014"/>
      <c r="N231" s="2476"/>
      <c r="O231" s="2476"/>
      <c r="P231" s="2476"/>
      <c r="Q231" s="2476"/>
      <c r="R231" s="2476"/>
      <c r="T231" s="2624"/>
      <c r="U231" s="2624"/>
      <c r="V231" s="2624"/>
      <c r="W231" s="2624"/>
      <c r="X231" s="2624"/>
      <c r="Y231" s="2624"/>
      <c r="Z231" s="850"/>
      <c r="AA231" s="850"/>
      <c r="AB231" s="2473">
        <f t="shared" si="0"/>
        <v>0</v>
      </c>
      <c r="AC231" s="2473"/>
      <c r="AD231" s="2473"/>
      <c r="AE231" s="2473"/>
      <c r="AF231" s="2473"/>
      <c r="AG231" s="2473"/>
      <c r="AH231" s="826"/>
      <c r="AI231" s="826"/>
      <c r="AJ231" s="826"/>
      <c r="AK231" s="609"/>
    </row>
    <row r="232" spans="1:37">
      <c r="A232" s="604"/>
      <c r="B232" s="2472" t="s">
        <v>1185</v>
      </c>
      <c r="C232" s="2472"/>
      <c r="D232" s="2472"/>
      <c r="E232" s="2472"/>
      <c r="F232" s="2472"/>
      <c r="G232" s="2472"/>
      <c r="I232" s="2471"/>
      <c r="J232" s="2471"/>
      <c r="K232" s="2471"/>
      <c r="L232" s="1014"/>
      <c r="N232" s="2476"/>
      <c r="O232" s="2476"/>
      <c r="P232" s="2476"/>
      <c r="Q232" s="2476"/>
      <c r="R232" s="2476"/>
      <c r="T232" s="2624"/>
      <c r="U232" s="2624"/>
      <c r="V232" s="2624"/>
      <c r="W232" s="2624"/>
      <c r="X232" s="2624"/>
      <c r="Y232" s="2624"/>
      <c r="Z232" s="850"/>
      <c r="AA232" s="850"/>
      <c r="AB232" s="2473">
        <f t="shared" si="0"/>
        <v>0</v>
      </c>
      <c r="AC232" s="2473"/>
      <c r="AD232" s="2473"/>
      <c r="AE232" s="2473"/>
      <c r="AF232" s="2473"/>
      <c r="AG232" s="2473"/>
      <c r="AH232" s="826"/>
      <c r="AI232" s="826"/>
      <c r="AJ232" s="826"/>
      <c r="AK232" s="609"/>
    </row>
    <row r="233" spans="1:37">
      <c r="A233" s="604"/>
      <c r="B233" s="2472" t="s">
        <v>1185</v>
      </c>
      <c r="C233" s="2472"/>
      <c r="D233" s="2472"/>
      <c r="E233" s="2472"/>
      <c r="F233" s="2472"/>
      <c r="G233" s="2472"/>
      <c r="I233" s="2474"/>
      <c r="J233" s="2474"/>
      <c r="K233" s="2474"/>
      <c r="L233" s="1014"/>
      <c r="N233" s="2476"/>
      <c r="O233" s="2476"/>
      <c r="P233" s="2476"/>
      <c r="Q233" s="2476"/>
      <c r="R233" s="2476"/>
      <c r="T233" s="2624"/>
      <c r="U233" s="2624"/>
      <c r="V233" s="2624"/>
      <c r="W233" s="2624"/>
      <c r="X233" s="2624"/>
      <c r="Y233" s="2624"/>
      <c r="Z233" s="850"/>
      <c r="AA233" s="850"/>
      <c r="AB233" s="2622">
        <f t="shared" si="0"/>
        <v>0</v>
      </c>
      <c r="AC233" s="2622"/>
      <c r="AD233" s="2622"/>
      <c r="AE233" s="2622"/>
      <c r="AF233" s="2622"/>
      <c r="AG233" s="2622"/>
      <c r="AH233" s="826"/>
      <c r="AI233" s="826"/>
      <c r="AJ233" s="826"/>
      <c r="AK233" s="609"/>
    </row>
    <row r="234" spans="1:37">
      <c r="A234" s="604"/>
      <c r="B234" s="475"/>
      <c r="C234" s="851"/>
      <c r="D234" s="475"/>
      <c r="K234" s="535"/>
      <c r="L234" s="535"/>
      <c r="M234" s="535"/>
      <c r="N234" s="535"/>
      <c r="O234" s="535"/>
      <c r="P234" s="535"/>
      <c r="Q234" s="535"/>
      <c r="R234" s="535"/>
      <c r="S234" s="535"/>
      <c r="T234" s="535"/>
      <c r="U234" s="535"/>
      <c r="V234" s="535"/>
      <c r="W234" s="535"/>
      <c r="X234" s="535"/>
      <c r="Y234" s="852" t="s">
        <v>1607</v>
      </c>
      <c r="AA234" s="852"/>
      <c r="AB234" s="2473">
        <f>SUM(AB224:AB233)</f>
        <v>976320</v>
      </c>
      <c r="AC234" s="2473"/>
      <c r="AD234" s="2473"/>
      <c r="AE234" s="2473"/>
      <c r="AF234" s="2473"/>
      <c r="AG234" s="2473"/>
      <c r="AH234" s="826"/>
      <c r="AI234" s="826"/>
      <c r="AJ234" s="826"/>
      <c r="AK234" s="609"/>
    </row>
    <row r="235" spans="1:37">
      <c r="A235" s="604"/>
      <c r="B235" s="604"/>
      <c r="C235" s="662"/>
      <c r="D235" s="826"/>
      <c r="E235" s="826"/>
      <c r="F235" s="826"/>
      <c r="G235" s="826"/>
      <c r="H235" s="826"/>
      <c r="I235" s="826"/>
      <c r="J235" s="826"/>
      <c r="K235" s="549"/>
      <c r="L235" s="549"/>
      <c r="M235" s="549"/>
      <c r="N235" s="549"/>
      <c r="O235" s="549"/>
      <c r="P235" s="549"/>
      <c r="Q235" s="549"/>
      <c r="R235" s="549"/>
      <c r="S235" s="549"/>
      <c r="T235" s="549"/>
      <c r="U235" s="549"/>
      <c r="V235" s="549"/>
      <c r="W235" s="549"/>
      <c r="X235" s="549"/>
      <c r="Y235" s="642"/>
      <c r="Z235" s="642"/>
      <c r="AA235" s="642"/>
      <c r="AB235" s="642"/>
      <c r="AC235" s="549"/>
      <c r="AD235" s="549"/>
      <c r="AE235" s="609"/>
      <c r="AF235" s="609"/>
      <c r="AG235" s="609"/>
      <c r="AH235" s="609"/>
      <c r="AI235" s="609"/>
      <c r="AJ235" s="609"/>
      <c r="AK235" s="609"/>
    </row>
    <row r="236" spans="1:37">
      <c r="A236" s="1135" t="s">
        <v>1597</v>
      </c>
      <c r="C236" s="662"/>
      <c r="D236" s="826"/>
      <c r="E236" s="826"/>
      <c r="F236" s="826"/>
      <c r="G236" s="826"/>
      <c r="H236" s="826"/>
      <c r="I236" s="826"/>
      <c r="J236" s="826"/>
      <c r="K236" s="535"/>
      <c r="L236" s="535"/>
      <c r="M236" s="535"/>
      <c r="N236" s="535"/>
      <c r="O236" s="535"/>
      <c r="P236" s="535"/>
      <c r="Q236" s="535"/>
      <c r="R236" s="535"/>
      <c r="S236" s="535"/>
      <c r="T236" s="535"/>
      <c r="U236" s="535"/>
      <c r="V236" s="535"/>
      <c r="W236" s="535"/>
      <c r="X236" s="535"/>
      <c r="Y236" s="642"/>
      <c r="Z236" s="642"/>
      <c r="AA236" s="642"/>
      <c r="AB236" s="642"/>
      <c r="AC236" s="535"/>
      <c r="AD236" s="535"/>
      <c r="AE236" s="609"/>
      <c r="AF236" s="609"/>
      <c r="AG236" s="609"/>
      <c r="AH236" s="609"/>
      <c r="AI236" s="609"/>
      <c r="AJ236" s="609"/>
      <c r="AK236" s="609"/>
    </row>
    <row r="237" spans="1:37">
      <c r="A237" s="604"/>
      <c r="B237" s="475" t="s">
        <v>1625</v>
      </c>
      <c r="C237" s="662"/>
      <c r="D237" s="826"/>
      <c r="E237" s="826"/>
      <c r="F237" s="826"/>
      <c r="G237" s="826"/>
      <c r="H237" s="826"/>
      <c r="I237" s="826"/>
      <c r="J237" s="826"/>
      <c r="K237" s="535"/>
      <c r="L237" s="535"/>
      <c r="M237" s="535"/>
      <c r="N237" s="535"/>
      <c r="O237" s="535"/>
      <c r="P237" s="535"/>
      <c r="Q237" s="535"/>
      <c r="R237" s="535"/>
      <c r="S237" s="535"/>
      <c r="T237" s="535"/>
      <c r="U237" s="535"/>
      <c r="V237" s="535"/>
      <c r="W237" s="535"/>
      <c r="X237" s="535"/>
      <c r="Y237" s="642"/>
      <c r="Z237" s="642"/>
      <c r="AA237" s="642"/>
      <c r="AB237" s="642"/>
      <c r="AC237" s="535"/>
      <c r="AD237" s="535"/>
      <c r="AE237" s="609"/>
      <c r="AF237" s="609"/>
      <c r="AG237" s="609"/>
      <c r="AH237" s="609"/>
      <c r="AI237" s="609"/>
      <c r="AJ237" s="609"/>
      <c r="AK237" s="609"/>
    </row>
    <row r="238" spans="1:37">
      <c r="A238" s="604"/>
      <c r="B238" s="475"/>
      <c r="C238" s="662"/>
      <c r="D238" s="826"/>
      <c r="E238" s="826"/>
      <c r="F238" s="826"/>
      <c r="G238" s="826"/>
      <c r="H238" s="826"/>
      <c r="I238" s="826"/>
      <c r="J238" s="826"/>
      <c r="K238" s="535"/>
      <c r="L238" s="535"/>
      <c r="M238" s="535"/>
      <c r="N238" s="535"/>
      <c r="O238" s="535"/>
      <c r="P238" s="535"/>
      <c r="Q238" s="535"/>
      <c r="R238" s="535"/>
      <c r="S238" s="535"/>
      <c r="T238" s="535"/>
      <c r="U238" s="535"/>
      <c r="V238" s="535"/>
      <c r="W238" s="535"/>
      <c r="X238" s="535"/>
      <c r="Y238" s="642"/>
      <c r="Z238" s="642"/>
      <c r="AA238" s="642"/>
      <c r="AB238" s="642"/>
      <c r="AC238" s="535"/>
      <c r="AD238" s="535"/>
      <c r="AE238" s="609"/>
      <c r="AF238" s="609"/>
      <c r="AG238" s="609"/>
      <c r="AH238" s="609"/>
      <c r="AI238" s="609"/>
      <c r="AJ238" s="609"/>
      <c r="AK238" s="609"/>
    </row>
    <row r="239" spans="1:37">
      <c r="A239" s="604"/>
      <c r="B239" s="835" t="s">
        <v>1623</v>
      </c>
      <c r="C239" s="662"/>
      <c r="D239" s="826"/>
      <c r="E239" s="826"/>
      <c r="F239" s="826"/>
      <c r="G239" s="826"/>
      <c r="H239" s="826"/>
      <c r="I239" s="826"/>
      <c r="J239" s="826"/>
      <c r="K239" s="535"/>
      <c r="L239" s="535"/>
      <c r="M239" s="535"/>
      <c r="N239" s="535"/>
      <c r="O239" s="535"/>
      <c r="P239" s="535"/>
      <c r="Q239" s="535"/>
      <c r="R239" s="535"/>
      <c r="S239" s="535"/>
      <c r="T239" s="535"/>
      <c r="U239" s="535"/>
      <c r="V239" s="535"/>
      <c r="W239" s="535"/>
      <c r="X239" s="535"/>
      <c r="Y239" s="642"/>
      <c r="Z239" s="642"/>
      <c r="AA239" s="642"/>
      <c r="AB239" s="642"/>
      <c r="AC239" s="535"/>
      <c r="AD239" s="535"/>
      <c r="AE239" s="609"/>
      <c r="AF239" s="609"/>
      <c r="AG239" s="609"/>
      <c r="AH239" s="609"/>
      <c r="AI239" s="609"/>
      <c r="AJ239" s="609"/>
      <c r="AK239" s="609"/>
    </row>
    <row r="240" spans="1:37">
      <c r="A240" s="604"/>
      <c r="B240" s="835" t="s">
        <v>1617</v>
      </c>
      <c r="C240" s="662"/>
      <c r="D240" s="826"/>
      <c r="E240" s="826"/>
      <c r="F240" s="826"/>
      <c r="G240" s="826"/>
      <c r="H240" s="826"/>
      <c r="I240" s="826"/>
      <c r="J240" s="826"/>
      <c r="K240" s="535"/>
      <c r="L240" s="535"/>
      <c r="M240" s="535"/>
      <c r="N240" s="535"/>
      <c r="O240" s="535"/>
      <c r="P240" s="535"/>
      <c r="Q240" s="535"/>
      <c r="R240" s="535"/>
      <c r="S240" s="535"/>
      <c r="T240" s="535"/>
      <c r="U240" s="535"/>
      <c r="V240" s="535"/>
      <c r="W240" s="535"/>
      <c r="X240" s="535"/>
      <c r="Y240" s="642"/>
      <c r="Z240" s="642"/>
      <c r="AA240" s="642"/>
      <c r="AB240" s="2625"/>
      <c r="AC240" s="2625"/>
      <c r="AD240" s="2625"/>
      <c r="AE240" s="2625"/>
      <c r="AF240" s="2625"/>
      <c r="AG240" s="2625"/>
      <c r="AH240" s="609"/>
      <c r="AI240" s="609"/>
      <c r="AJ240" s="609"/>
      <c r="AK240" s="609"/>
    </row>
    <row r="241" spans="1:37">
      <c r="A241" s="604"/>
      <c r="B241" s="836" t="s">
        <v>1622</v>
      </c>
      <c r="C241" s="615"/>
      <c r="D241" s="834"/>
      <c r="E241" s="826"/>
      <c r="F241" s="826"/>
      <c r="G241" s="826"/>
      <c r="H241" s="826"/>
      <c r="I241" s="826"/>
      <c r="J241" s="826"/>
      <c r="K241" s="535"/>
      <c r="L241" s="535"/>
      <c r="M241" s="535"/>
      <c r="N241" s="535"/>
      <c r="O241" s="535"/>
      <c r="P241" s="535"/>
      <c r="Q241" s="535"/>
      <c r="R241" s="535"/>
      <c r="S241" s="535"/>
      <c r="T241" s="535"/>
      <c r="U241" s="535"/>
      <c r="V241" s="535"/>
      <c r="W241" s="535"/>
      <c r="X241" s="535"/>
      <c r="Y241" s="642"/>
      <c r="Z241" s="642"/>
      <c r="AA241" s="642"/>
      <c r="AB241" s="642"/>
      <c r="AC241" s="535"/>
      <c r="AD241" s="535"/>
      <c r="AE241" s="609"/>
      <c r="AF241" s="609"/>
      <c r="AG241" s="609"/>
      <c r="AH241" s="609"/>
      <c r="AI241" s="609"/>
      <c r="AJ241" s="609"/>
      <c r="AK241" s="609"/>
    </row>
    <row r="242" spans="1:37">
      <c r="A242" s="604"/>
      <c r="B242" s="837" t="s">
        <v>1624</v>
      </c>
      <c r="C242" s="662"/>
      <c r="D242" s="826"/>
      <c r="E242" s="826"/>
      <c r="F242" s="826"/>
      <c r="G242" s="826"/>
      <c r="H242" s="826"/>
      <c r="I242" s="826"/>
      <c r="J242" s="826"/>
      <c r="K242" s="535"/>
      <c r="L242" s="535"/>
      <c r="M242" s="535"/>
      <c r="N242" s="535"/>
      <c r="O242" s="535"/>
      <c r="P242" s="535"/>
      <c r="Q242" s="535"/>
      <c r="R242" s="535"/>
      <c r="S242" s="535"/>
      <c r="T242" s="535"/>
      <c r="U242" s="535"/>
      <c r="V242" s="535"/>
      <c r="W242" s="535"/>
      <c r="X242" s="535"/>
      <c r="Y242" s="642"/>
      <c r="Z242" s="642"/>
      <c r="AA242" s="642"/>
      <c r="AB242" s="642"/>
      <c r="AC242" s="535"/>
      <c r="AD242" s="535"/>
      <c r="AE242" s="609"/>
      <c r="AF242" s="609"/>
      <c r="AG242" s="609"/>
      <c r="AH242" s="609"/>
      <c r="AI242" s="609"/>
      <c r="AJ242" s="609"/>
      <c r="AK242" s="609"/>
    </row>
    <row r="243" spans="1:37">
      <c r="A243" s="604"/>
      <c r="B243" s="837" t="s">
        <v>1618</v>
      </c>
      <c r="C243" s="662"/>
      <c r="D243" s="826"/>
      <c r="E243" s="826"/>
      <c r="F243" s="826"/>
      <c r="G243" s="826"/>
      <c r="H243" s="826"/>
      <c r="I243" s="826"/>
      <c r="J243" s="826"/>
      <c r="K243" s="535"/>
      <c r="L243" s="535"/>
      <c r="M243" s="535"/>
      <c r="N243" s="535"/>
      <c r="O243" s="535"/>
      <c r="P243" s="535"/>
      <c r="Q243" s="535"/>
      <c r="R243" s="535"/>
      <c r="S243" s="535"/>
      <c r="T243" s="535"/>
      <c r="U243" s="535"/>
      <c r="V243" s="535"/>
      <c r="W243" s="535"/>
      <c r="X243" s="535"/>
      <c r="Y243" s="642"/>
      <c r="Z243" s="642"/>
      <c r="AA243" s="642"/>
      <c r="AB243" s="2625"/>
      <c r="AC243" s="2625"/>
      <c r="AD243" s="2625"/>
      <c r="AE243" s="2625"/>
      <c r="AF243" s="2625"/>
      <c r="AG243" s="2625"/>
      <c r="AH243" s="609"/>
      <c r="AI243" s="609"/>
      <c r="AJ243" s="609"/>
      <c r="AK243" s="609"/>
    </row>
    <row r="244" spans="1:37">
      <c r="A244" s="604"/>
      <c r="B244" s="837" t="s">
        <v>1619</v>
      </c>
      <c r="C244" s="662"/>
      <c r="D244" s="826"/>
      <c r="E244" s="826"/>
      <c r="F244" s="826"/>
      <c r="G244" s="826"/>
      <c r="H244" s="826"/>
      <c r="I244" s="826"/>
      <c r="J244" s="826"/>
      <c r="K244" s="535"/>
      <c r="L244" s="535"/>
      <c r="M244" s="535"/>
      <c r="N244" s="535"/>
      <c r="O244" s="535"/>
      <c r="P244" s="535"/>
      <c r="Q244" s="535"/>
      <c r="R244" s="535"/>
      <c r="S244" s="535"/>
      <c r="T244" s="535"/>
      <c r="U244" s="535"/>
      <c r="V244" s="535"/>
      <c r="W244" s="535"/>
      <c r="X244" s="535"/>
      <c r="Y244" s="642"/>
      <c r="Z244" s="642"/>
      <c r="AA244" s="642"/>
      <c r="AB244" s="2657"/>
      <c r="AC244" s="2657"/>
      <c r="AD244" s="2657"/>
      <c r="AE244" s="2657"/>
      <c r="AF244" s="2657"/>
      <c r="AG244" s="2657"/>
      <c r="AH244" s="609"/>
      <c r="AI244" s="609"/>
      <c r="AJ244" s="609"/>
      <c r="AK244" s="609"/>
    </row>
    <row r="245" spans="1:37">
      <c r="A245" s="604"/>
      <c r="B245" s="837" t="s">
        <v>1620</v>
      </c>
      <c r="C245" s="662"/>
      <c r="D245" s="826"/>
      <c r="E245" s="826"/>
      <c r="F245" s="826"/>
      <c r="G245" s="826"/>
      <c r="H245" s="826"/>
      <c r="I245" s="826"/>
      <c r="J245" s="826"/>
      <c r="K245" s="535"/>
      <c r="L245" s="535"/>
      <c r="M245" s="535"/>
      <c r="N245" s="535"/>
      <c r="O245" s="535"/>
      <c r="P245" s="535"/>
      <c r="Q245" s="535"/>
      <c r="R245" s="535"/>
      <c r="S245" s="535"/>
      <c r="T245" s="535"/>
      <c r="U245" s="535"/>
      <c r="V245" s="535"/>
      <c r="W245" s="535"/>
      <c r="X245" s="535"/>
      <c r="Y245" s="642"/>
      <c r="Z245" s="642"/>
      <c r="AA245" s="642"/>
      <c r="AB245" s="2639">
        <f>IFERROR(AB243/AB244,0)</f>
        <v>0</v>
      </c>
      <c r="AC245" s="2639"/>
      <c r="AD245" s="2639"/>
      <c r="AE245" s="2639"/>
      <c r="AF245" s="2639"/>
      <c r="AG245" s="2639"/>
      <c r="AH245" s="609"/>
      <c r="AI245" s="609"/>
      <c r="AJ245" s="609"/>
      <c r="AK245" s="609"/>
    </row>
    <row r="246" spans="1:37">
      <c r="A246" s="604"/>
      <c r="B246" s="475"/>
      <c r="C246" s="662"/>
      <c r="D246" s="826"/>
      <c r="E246" s="826"/>
      <c r="F246" s="826"/>
      <c r="G246" s="826"/>
      <c r="H246" s="826"/>
      <c r="I246" s="826"/>
      <c r="J246" s="826"/>
      <c r="K246" s="535"/>
      <c r="L246" s="535"/>
      <c r="M246" s="535"/>
      <c r="N246" s="535"/>
      <c r="O246" s="535"/>
      <c r="P246" s="535"/>
      <c r="Q246" s="535"/>
      <c r="R246" s="535"/>
      <c r="S246" s="535"/>
      <c r="T246" s="535"/>
      <c r="U246" s="535"/>
      <c r="V246" s="535"/>
      <c r="W246" s="535"/>
      <c r="X246" s="535"/>
      <c r="Y246" s="642"/>
      <c r="Z246" s="642"/>
      <c r="AA246" s="642"/>
      <c r="AB246" s="642"/>
      <c r="AC246" s="535"/>
      <c r="AD246" s="535"/>
      <c r="AE246" s="609"/>
      <c r="AF246" s="609"/>
      <c r="AG246" s="609"/>
      <c r="AH246" s="609"/>
      <c r="AI246" s="609"/>
      <c r="AJ246" s="609"/>
      <c r="AK246" s="609"/>
    </row>
    <row r="247" spans="1:37">
      <c r="A247" s="604"/>
      <c r="B247" s="475" t="s">
        <v>1621</v>
      </c>
      <c r="C247" s="662"/>
      <c r="D247" s="826"/>
      <c r="E247" s="826"/>
      <c r="F247" s="826"/>
      <c r="G247" s="826"/>
      <c r="H247" s="826"/>
      <c r="I247" s="826"/>
      <c r="J247" s="826"/>
      <c r="K247" s="535"/>
      <c r="L247" s="535"/>
      <c r="M247" s="535"/>
      <c r="N247" s="535"/>
      <c r="O247" s="535"/>
      <c r="P247" s="535"/>
      <c r="Q247" s="535"/>
      <c r="R247" s="535"/>
      <c r="S247" s="535"/>
      <c r="T247" s="535"/>
      <c r="U247" s="535"/>
      <c r="V247" s="535"/>
      <c r="W247" s="535"/>
      <c r="X247" s="535"/>
      <c r="Y247" s="642"/>
      <c r="Z247" s="642"/>
      <c r="AA247" s="642"/>
      <c r="AB247" s="2622">
        <f>MAX(AB240,AB245)</f>
        <v>0</v>
      </c>
      <c r="AC247" s="2622"/>
      <c r="AD247" s="2622"/>
      <c r="AE247" s="2622"/>
      <c r="AF247" s="2622"/>
      <c r="AG247" s="2622"/>
      <c r="AH247" s="609"/>
      <c r="AI247" s="609"/>
      <c r="AJ247" s="609"/>
      <c r="AK247" s="609"/>
    </row>
    <row r="248" spans="1:37">
      <c r="A248" s="604"/>
      <c r="B248" s="475"/>
      <c r="C248" s="662"/>
      <c r="D248" s="826"/>
      <c r="E248" s="826"/>
      <c r="F248" s="826"/>
      <c r="G248" s="826"/>
      <c r="H248" s="826"/>
      <c r="I248" s="826"/>
      <c r="J248" s="826"/>
      <c r="K248" s="535"/>
      <c r="L248" s="535"/>
      <c r="M248" s="535"/>
      <c r="N248" s="535"/>
      <c r="O248" s="535"/>
      <c r="P248" s="535"/>
      <c r="Q248" s="535"/>
      <c r="R248" s="535"/>
      <c r="S248" s="535"/>
      <c r="T248" s="535"/>
      <c r="U248" s="535"/>
      <c r="V248" s="535"/>
      <c r="W248" s="535"/>
      <c r="X248" s="535"/>
      <c r="Y248" s="642"/>
      <c r="Z248" s="642"/>
      <c r="AA248" s="642"/>
      <c r="AB248" s="642"/>
      <c r="AC248" s="535"/>
      <c r="AD248" s="535"/>
      <c r="AE248" s="609"/>
      <c r="AF248" s="609"/>
      <c r="AG248" s="609"/>
      <c r="AH248" s="609"/>
      <c r="AI248" s="609"/>
      <c r="AJ248" s="609"/>
      <c r="AK248" s="609"/>
    </row>
    <row r="249" spans="1:37">
      <c r="A249" s="604"/>
      <c r="B249" s="475"/>
      <c r="C249" s="662"/>
      <c r="D249" s="826"/>
      <c r="E249" s="826"/>
      <c r="F249" s="826"/>
      <c r="G249" s="826"/>
      <c r="H249" s="826"/>
      <c r="I249" s="826"/>
      <c r="J249" s="826"/>
      <c r="K249" s="535"/>
      <c r="L249" s="535"/>
      <c r="M249" s="535"/>
      <c r="N249" s="535"/>
      <c r="O249" s="535"/>
      <c r="P249" s="535"/>
      <c r="Q249" s="535"/>
      <c r="R249" s="535"/>
      <c r="S249" s="535"/>
      <c r="T249" s="535"/>
      <c r="U249" s="535"/>
      <c r="V249" s="535"/>
      <c r="W249" s="535"/>
      <c r="X249" s="535"/>
      <c r="Y249" s="642"/>
      <c r="Z249" s="642"/>
      <c r="AA249" s="642"/>
      <c r="AB249" s="642"/>
      <c r="AC249" s="535"/>
      <c r="AD249" s="535"/>
      <c r="AE249" s="609"/>
      <c r="AF249" s="609"/>
      <c r="AG249" s="609"/>
      <c r="AH249" s="609"/>
      <c r="AI249" s="609"/>
      <c r="AJ249" s="609"/>
      <c r="AK249" s="609"/>
    </row>
    <row r="250" spans="1:37">
      <c r="A250" s="604"/>
      <c r="B250" s="475" t="s">
        <v>1610</v>
      </c>
      <c r="C250" s="662"/>
      <c r="D250" s="826"/>
      <c r="E250" s="826"/>
      <c r="F250" s="826"/>
      <c r="G250" s="826"/>
      <c r="H250" s="826"/>
      <c r="I250" s="826"/>
      <c r="J250" s="826"/>
      <c r="K250" s="535"/>
      <c r="L250" s="535"/>
      <c r="M250" s="535"/>
      <c r="N250" s="535"/>
      <c r="O250" s="535"/>
      <c r="P250" s="535"/>
      <c r="Q250" s="535"/>
      <c r="R250" s="535"/>
      <c r="S250" s="535"/>
      <c r="U250" s="838"/>
      <c r="V250" s="838"/>
      <c r="W250" s="838"/>
      <c r="X250" s="838"/>
      <c r="Y250" s="838"/>
      <c r="Z250" s="642"/>
      <c r="AA250" s="642"/>
      <c r="AB250" s="2473">
        <f>AB234+AB247</f>
        <v>976320</v>
      </c>
      <c r="AC250" s="2473"/>
      <c r="AD250" s="2473"/>
      <c r="AE250" s="2473"/>
      <c r="AF250" s="2473"/>
      <c r="AG250" s="2473"/>
      <c r="AH250" s="609"/>
      <c r="AI250" s="609"/>
      <c r="AJ250" s="609"/>
      <c r="AK250" s="609"/>
    </row>
    <row r="251" spans="1:37">
      <c r="A251" s="604"/>
      <c r="B251" s="475" t="s">
        <v>839</v>
      </c>
      <c r="C251" s="662"/>
      <c r="D251" s="826"/>
      <c r="E251" s="826"/>
      <c r="F251" s="826"/>
      <c r="G251" s="826"/>
      <c r="H251" s="826"/>
      <c r="I251" s="826"/>
      <c r="J251" s="826"/>
      <c r="K251" s="535"/>
      <c r="L251" s="535"/>
      <c r="M251" s="535"/>
      <c r="N251" s="535"/>
      <c r="O251" s="535"/>
      <c r="P251" s="535"/>
      <c r="Q251" s="535"/>
      <c r="R251" s="535"/>
      <c r="S251" s="535"/>
      <c r="U251" s="839"/>
      <c r="V251" s="839"/>
      <c r="W251" s="839"/>
      <c r="X251" s="839"/>
      <c r="Y251" s="839"/>
      <c r="Z251" s="642"/>
      <c r="AA251" s="642"/>
      <c r="AB251" s="2505">
        <v>0.05</v>
      </c>
      <c r="AC251" s="2505"/>
      <c r="AD251" s="2505"/>
      <c r="AE251" s="2505"/>
      <c r="AF251" s="2505"/>
      <c r="AG251" s="2505"/>
      <c r="AH251" s="609"/>
      <c r="AI251" s="609"/>
      <c r="AJ251" s="609"/>
      <c r="AK251" s="609"/>
    </row>
    <row r="252" spans="1:37">
      <c r="A252" s="604"/>
      <c r="B252" s="475" t="s">
        <v>1611</v>
      </c>
      <c r="C252" s="662"/>
      <c r="D252" s="826"/>
      <c r="E252" s="826"/>
      <c r="F252" s="826"/>
      <c r="G252" s="826"/>
      <c r="H252" s="826"/>
      <c r="I252" s="826"/>
      <c r="J252" s="826"/>
      <c r="K252" s="535"/>
      <c r="L252" s="535"/>
      <c r="M252" s="535"/>
      <c r="N252" s="535"/>
      <c r="O252" s="535"/>
      <c r="P252" s="535"/>
      <c r="Q252" s="535"/>
      <c r="R252" s="535"/>
      <c r="S252" s="535"/>
      <c r="U252" s="838"/>
      <c r="V252" s="838"/>
      <c r="W252" s="838"/>
      <c r="X252" s="838"/>
      <c r="Y252" s="838"/>
      <c r="Z252" s="642"/>
      <c r="AA252" s="642"/>
      <c r="AB252" s="2506">
        <f>AB250-(AB250*AB251)</f>
        <v>927504</v>
      </c>
      <c r="AC252" s="2506"/>
      <c r="AD252" s="2506"/>
      <c r="AE252" s="2506"/>
      <c r="AF252" s="2506"/>
      <c r="AG252" s="2506"/>
      <c r="AH252" s="609"/>
      <c r="AI252" s="609"/>
      <c r="AJ252" s="609"/>
      <c r="AK252" s="609"/>
    </row>
    <row r="253" spans="1:37">
      <c r="A253" s="604"/>
      <c r="B253" s="475" t="s">
        <v>1612</v>
      </c>
      <c r="C253" s="662"/>
      <c r="D253" s="826"/>
      <c r="E253" s="826"/>
      <c r="F253" s="826"/>
      <c r="G253" s="826"/>
      <c r="H253" s="826"/>
      <c r="I253" s="826"/>
      <c r="J253" s="826"/>
      <c r="K253" s="535"/>
      <c r="L253" s="535"/>
      <c r="M253" s="535"/>
      <c r="N253" s="535"/>
      <c r="O253" s="535"/>
      <c r="P253" s="535"/>
      <c r="Q253" s="535"/>
      <c r="R253" s="535"/>
      <c r="S253" s="535"/>
      <c r="U253" s="535"/>
      <c r="V253" s="535"/>
      <c r="W253" s="535"/>
      <c r="X253" s="535"/>
      <c r="Y253" s="840"/>
      <c r="Z253" s="642"/>
      <c r="AA253" s="642"/>
      <c r="AB253" s="535"/>
      <c r="AC253" s="535"/>
      <c r="AD253" s="535"/>
      <c r="AE253" s="609"/>
      <c r="AF253" s="609"/>
      <c r="AG253" s="609"/>
      <c r="AH253" s="609"/>
      <c r="AI253" s="609"/>
      <c r="AJ253" s="609"/>
      <c r="AK253" s="609"/>
    </row>
    <row r="254" spans="1:37">
      <c r="A254" s="604"/>
      <c r="B254" s="475" t="s">
        <v>1613</v>
      </c>
      <c r="C254" s="662"/>
      <c r="D254" s="826"/>
      <c r="E254" s="826"/>
      <c r="F254" s="826"/>
      <c r="G254" s="826"/>
      <c r="H254" s="826"/>
      <c r="I254" s="826"/>
      <c r="J254" s="826"/>
      <c r="K254" s="535"/>
      <c r="L254" s="535"/>
      <c r="M254" s="535"/>
      <c r="N254" s="535"/>
      <c r="O254" s="535"/>
      <c r="P254" s="535"/>
      <c r="Q254" s="535"/>
      <c r="R254" s="535"/>
      <c r="S254" s="535"/>
      <c r="U254" s="838"/>
      <c r="V254" s="838"/>
      <c r="W254" s="838"/>
      <c r="X254" s="838"/>
      <c r="Y254" s="838"/>
      <c r="Z254" s="642"/>
      <c r="AA254" s="642"/>
      <c r="AB254" s="2473">
        <f>AB252/AB258</f>
        <v>806525.21739130444</v>
      </c>
      <c r="AC254" s="2473"/>
      <c r="AD254" s="2473"/>
      <c r="AE254" s="2473"/>
      <c r="AF254" s="2473"/>
      <c r="AG254" s="2473"/>
      <c r="AH254" s="609"/>
      <c r="AI254" s="609"/>
      <c r="AJ254" s="609"/>
      <c r="AK254" s="609"/>
    </row>
    <row r="255" spans="1:37">
      <c r="A255" s="604"/>
      <c r="B255" s="475"/>
      <c r="C255" s="662"/>
      <c r="D255" s="826"/>
      <c r="E255" s="826"/>
      <c r="F255" s="826"/>
      <c r="G255" s="826"/>
      <c r="H255" s="826"/>
      <c r="I255" s="826"/>
      <c r="J255" s="826"/>
      <c r="K255" s="535"/>
      <c r="L255" s="535"/>
      <c r="M255" s="535"/>
      <c r="N255" s="535"/>
      <c r="O255" s="535"/>
      <c r="P255" s="535"/>
      <c r="Q255" s="535"/>
      <c r="R255" s="535"/>
      <c r="S255" s="535"/>
      <c r="U255" s="535"/>
      <c r="V255" s="535"/>
      <c r="W255" s="535"/>
      <c r="X255" s="535"/>
      <c r="Y255" s="475"/>
      <c r="Z255" s="642"/>
      <c r="AA255" s="642"/>
      <c r="AB255" s="535"/>
      <c r="AC255" s="535"/>
      <c r="AD255" s="535"/>
      <c r="AE255" s="609"/>
      <c r="AF255" s="609"/>
      <c r="AG255" s="609"/>
      <c r="AH255" s="609"/>
      <c r="AI255" s="609"/>
      <c r="AJ255" s="609"/>
      <c r="AK255" s="609"/>
    </row>
    <row r="256" spans="1:37">
      <c r="A256" s="604"/>
      <c r="B256" s="475" t="s">
        <v>1614</v>
      </c>
      <c r="C256" s="662"/>
      <c r="D256" s="826"/>
      <c r="E256" s="826"/>
      <c r="F256" s="826"/>
      <c r="G256" s="826"/>
      <c r="H256" s="826"/>
      <c r="I256" s="826"/>
      <c r="J256" s="826"/>
      <c r="K256" s="535"/>
      <c r="L256" s="535"/>
      <c r="M256" s="535"/>
      <c r="N256" s="535"/>
      <c r="O256" s="535"/>
      <c r="P256" s="535"/>
      <c r="Q256" s="535"/>
      <c r="R256" s="535"/>
      <c r="S256" s="535"/>
      <c r="U256" s="475"/>
      <c r="V256" s="475"/>
      <c r="W256" s="475"/>
      <c r="X256" s="475"/>
      <c r="Y256" s="475"/>
      <c r="Z256" s="642"/>
      <c r="AA256" s="642"/>
      <c r="AB256" s="2465">
        <v>15</v>
      </c>
      <c r="AC256" s="2465"/>
      <c r="AD256" s="2465"/>
      <c r="AE256" s="2465"/>
      <c r="AF256" s="2465"/>
      <c r="AG256" s="2465"/>
      <c r="AH256" s="609"/>
      <c r="AI256" s="609"/>
      <c r="AJ256" s="609"/>
      <c r="AK256" s="609"/>
    </row>
    <row r="257" spans="1:37">
      <c r="A257" s="604"/>
      <c r="B257" s="475" t="s">
        <v>1615</v>
      </c>
      <c r="C257" s="662"/>
      <c r="D257" s="826"/>
      <c r="E257" s="826"/>
      <c r="F257" s="826"/>
      <c r="G257" s="826"/>
      <c r="H257" s="826"/>
      <c r="I257" s="826"/>
      <c r="J257" s="826"/>
      <c r="K257" s="535"/>
      <c r="L257" s="535"/>
      <c r="M257" s="535"/>
      <c r="N257" s="535"/>
      <c r="O257" s="535"/>
      <c r="P257" s="535"/>
      <c r="Q257" s="535"/>
      <c r="R257" s="535"/>
      <c r="S257" s="535"/>
      <c r="U257" s="839"/>
      <c r="V257" s="839"/>
      <c r="W257" s="839"/>
      <c r="X257" s="839"/>
      <c r="Y257" s="839"/>
      <c r="Z257" s="642"/>
      <c r="AA257" s="642"/>
      <c r="AB257" s="2507">
        <v>0.04</v>
      </c>
      <c r="AC257" s="2507"/>
      <c r="AD257" s="2507"/>
      <c r="AE257" s="2507"/>
      <c r="AF257" s="2507"/>
      <c r="AG257" s="2507"/>
      <c r="AH257" s="609"/>
      <c r="AI257" s="609"/>
      <c r="AJ257" s="609"/>
      <c r="AK257" s="609"/>
    </row>
    <row r="258" spans="1:37">
      <c r="A258" s="604"/>
      <c r="B258" s="475" t="s">
        <v>851</v>
      </c>
      <c r="C258" s="662"/>
      <c r="D258" s="826"/>
      <c r="E258" s="826"/>
      <c r="F258" s="826"/>
      <c r="G258" s="826"/>
      <c r="H258" s="826"/>
      <c r="I258" s="826"/>
      <c r="J258" s="826"/>
      <c r="K258" s="535"/>
      <c r="L258" s="535"/>
      <c r="M258" s="535"/>
      <c r="N258" s="535"/>
      <c r="O258" s="535"/>
      <c r="P258" s="535"/>
      <c r="Q258" s="535"/>
      <c r="R258" s="535"/>
      <c r="S258" s="535"/>
      <c r="U258" s="841"/>
      <c r="V258" s="841"/>
      <c r="W258" s="841"/>
      <c r="X258" s="841"/>
      <c r="Y258" s="841"/>
      <c r="Z258" s="642"/>
      <c r="AA258" s="642"/>
      <c r="AB258" s="2478">
        <v>1.1499999999999999</v>
      </c>
      <c r="AC258" s="2478"/>
      <c r="AD258" s="2478"/>
      <c r="AE258" s="2478"/>
      <c r="AF258" s="2478"/>
      <c r="AG258" s="2478"/>
      <c r="AH258" s="609"/>
      <c r="AI258" s="609"/>
      <c r="AJ258" s="609"/>
      <c r="AK258" s="609"/>
    </row>
    <row r="259" spans="1:37">
      <c r="A259" s="604"/>
      <c r="B259" s="475"/>
      <c r="C259" s="662"/>
      <c r="D259" s="826"/>
      <c r="E259" s="826"/>
      <c r="F259" s="826"/>
      <c r="G259" s="826"/>
      <c r="H259" s="826"/>
      <c r="I259" s="826"/>
      <c r="J259" s="826"/>
      <c r="K259" s="535"/>
      <c r="L259" s="535"/>
      <c r="M259" s="535"/>
      <c r="N259" s="535"/>
      <c r="O259" s="535"/>
      <c r="P259" s="535"/>
      <c r="Q259" s="535"/>
      <c r="R259" s="535"/>
      <c r="S259" s="535"/>
      <c r="U259" s="535"/>
      <c r="V259" s="535"/>
      <c r="W259" s="535"/>
      <c r="X259" s="535"/>
      <c r="Y259" s="488"/>
      <c r="Z259" s="642"/>
      <c r="AA259" s="642"/>
      <c r="AB259" s="535"/>
      <c r="AC259" s="535"/>
      <c r="AD259" s="535"/>
      <c r="AE259" s="609"/>
      <c r="AF259" s="609"/>
      <c r="AG259" s="609"/>
      <c r="AH259" s="609"/>
      <c r="AI259" s="609"/>
      <c r="AJ259" s="609"/>
      <c r="AK259" s="609"/>
    </row>
    <row r="260" spans="1:37">
      <c r="A260" s="604"/>
      <c r="B260" s="843" t="s">
        <v>1616</v>
      </c>
      <c r="C260" s="662"/>
      <c r="D260" s="826"/>
      <c r="E260" s="826"/>
      <c r="F260" s="826"/>
      <c r="G260" s="826"/>
      <c r="H260" s="826"/>
      <c r="I260" s="826"/>
      <c r="J260" s="826"/>
      <c r="K260" s="535"/>
      <c r="L260" s="535"/>
      <c r="M260" s="535"/>
      <c r="N260" s="535"/>
      <c r="O260" s="535"/>
      <c r="P260" s="535"/>
      <c r="Q260" s="535"/>
      <c r="R260" s="535"/>
      <c r="S260" s="535"/>
      <c r="U260" s="842"/>
      <c r="V260" s="842"/>
      <c r="W260" s="842"/>
      <c r="X260" s="842"/>
      <c r="Y260" s="842"/>
      <c r="Z260" s="642"/>
      <c r="AA260" s="642"/>
      <c r="AB260" s="2498">
        <f>PV(AB257/12,AB256*12,-AB254/12, ,0)</f>
        <v>9086323.0905452128</v>
      </c>
      <c r="AC260" s="2499"/>
      <c r="AD260" s="2499"/>
      <c r="AE260" s="2499"/>
      <c r="AF260" s="2499"/>
      <c r="AG260" s="2500"/>
      <c r="AH260" s="609"/>
      <c r="AI260" s="609"/>
      <c r="AJ260" s="609"/>
      <c r="AK260" s="609"/>
    </row>
    <row r="261" spans="1:37">
      <c r="A261" s="604"/>
      <c r="B261" s="843"/>
      <c r="C261" s="662"/>
      <c r="D261" s="826"/>
      <c r="E261" s="826"/>
      <c r="F261" s="826"/>
      <c r="G261" s="826"/>
      <c r="H261" s="826"/>
      <c r="I261" s="826"/>
      <c r="J261" s="826"/>
      <c r="K261" s="535"/>
      <c r="L261" s="535"/>
      <c r="M261" s="535"/>
      <c r="N261" s="535"/>
      <c r="O261" s="535"/>
      <c r="P261" s="535"/>
      <c r="Q261" s="535"/>
      <c r="R261" s="535"/>
      <c r="S261" s="535"/>
      <c r="U261" s="842"/>
      <c r="V261" s="842"/>
      <c r="W261" s="842"/>
      <c r="X261" s="842"/>
      <c r="Y261" s="842"/>
      <c r="Z261" s="642"/>
      <c r="AA261" s="642"/>
      <c r="AB261" s="854"/>
      <c r="AC261" s="854"/>
      <c r="AD261" s="854"/>
      <c r="AE261" s="854"/>
      <c r="AF261" s="854"/>
      <c r="AG261" s="854"/>
      <c r="AH261" s="609"/>
      <c r="AI261" s="609"/>
      <c r="AJ261" s="609"/>
      <c r="AK261" s="609"/>
    </row>
    <row r="262" spans="1:37">
      <c r="A262" s="604"/>
      <c r="B262" s="843"/>
      <c r="C262" s="662"/>
      <c r="D262" s="826"/>
      <c r="E262" s="826"/>
      <c r="F262" s="826"/>
      <c r="G262" s="826"/>
      <c r="H262" s="826"/>
      <c r="I262" s="826"/>
      <c r="J262" s="826"/>
      <c r="K262" s="535"/>
      <c r="L262" s="535"/>
      <c r="M262" s="535"/>
      <c r="N262" s="535"/>
      <c r="O262" s="535"/>
      <c r="P262" s="535"/>
      <c r="Q262" s="535"/>
      <c r="R262" s="535"/>
      <c r="S262" s="535"/>
      <c r="U262" s="842"/>
      <c r="V262" s="842"/>
      <c r="W262" s="842"/>
      <c r="X262" s="842"/>
      <c r="Y262" s="842"/>
      <c r="Z262" s="642"/>
      <c r="AA262" s="642"/>
      <c r="AB262" s="854"/>
      <c r="AC262" s="854"/>
      <c r="AD262" s="854"/>
      <c r="AE262" s="854"/>
      <c r="AF262" s="854"/>
      <c r="AG262" s="854"/>
      <c r="AH262" s="609"/>
      <c r="AI262" s="609"/>
      <c r="AJ262" s="609"/>
      <c r="AK262" s="609"/>
    </row>
    <row r="263" spans="1:37">
      <c r="A263" s="604"/>
      <c r="B263" s="846" t="s">
        <v>1592</v>
      </c>
      <c r="C263" s="846"/>
      <c r="D263" s="826"/>
      <c r="E263" s="826"/>
      <c r="F263" s="826"/>
      <c r="G263" s="826"/>
      <c r="H263" s="826"/>
      <c r="I263" s="826"/>
      <c r="J263" s="826"/>
      <c r="K263" s="535"/>
      <c r="L263" s="535"/>
      <c r="M263" s="535"/>
      <c r="N263" s="535"/>
      <c r="O263" s="535"/>
      <c r="P263" s="535"/>
      <c r="Q263" s="535"/>
      <c r="R263" s="535"/>
      <c r="S263" s="535"/>
      <c r="T263" s="535"/>
      <c r="U263" s="535"/>
      <c r="V263" s="535"/>
      <c r="W263" s="535"/>
      <c r="X263" s="535"/>
      <c r="Y263" s="642"/>
      <c r="Z263" s="642"/>
      <c r="AA263" s="642"/>
      <c r="AB263" s="642"/>
      <c r="AC263" s="535"/>
      <c r="AD263" s="535"/>
      <c r="AE263" s="609"/>
      <c r="AF263" s="609"/>
      <c r="AG263" s="609"/>
      <c r="AH263" s="609"/>
      <c r="AI263" s="609"/>
      <c r="AJ263" s="609"/>
      <c r="AK263" s="609"/>
    </row>
    <row r="264" spans="1:37">
      <c r="A264" s="604"/>
      <c r="B264" s="604" t="s">
        <v>1595</v>
      </c>
      <c r="C264" s="662"/>
      <c r="D264" s="826"/>
      <c r="E264" s="826"/>
      <c r="F264" s="826"/>
      <c r="G264" s="826"/>
      <c r="H264" s="826"/>
      <c r="I264" s="826"/>
      <c r="J264" s="826"/>
      <c r="K264" s="535"/>
      <c r="L264" s="535"/>
      <c r="M264" s="535"/>
      <c r="N264" s="535"/>
      <c r="O264" s="535"/>
      <c r="P264" s="535"/>
      <c r="Q264" s="535"/>
      <c r="R264" s="535"/>
      <c r="S264" s="535"/>
      <c r="T264" s="535"/>
      <c r="U264" s="535"/>
      <c r="V264" s="535"/>
      <c r="W264" s="535"/>
      <c r="X264" s="535"/>
      <c r="Y264" s="642"/>
      <c r="Z264" s="642"/>
      <c r="AA264" s="642"/>
      <c r="AB264" s="642"/>
      <c r="AC264" s="535"/>
      <c r="AD264" s="535"/>
      <c r="AE264" s="609"/>
      <c r="AF264" s="609"/>
      <c r="AG264" s="609"/>
      <c r="AH264" s="609"/>
      <c r="AI264" s="609"/>
      <c r="AJ264" s="609"/>
      <c r="AK264" s="609"/>
    </row>
    <row r="265" spans="1:37">
      <c r="A265" s="604"/>
      <c r="B265" s="604" t="s">
        <v>1594</v>
      </c>
      <c r="C265" s="662"/>
      <c r="D265" s="826"/>
      <c r="E265" s="826"/>
      <c r="F265" s="826"/>
      <c r="G265" s="826"/>
      <c r="H265" s="826"/>
      <c r="I265" s="826"/>
      <c r="J265" s="826"/>
      <c r="K265" s="535"/>
      <c r="L265" s="535"/>
      <c r="M265" s="535"/>
      <c r="N265" s="535"/>
      <c r="O265" s="535"/>
      <c r="P265" s="535"/>
      <c r="Q265" s="535"/>
      <c r="R265" s="535"/>
      <c r="S265" s="535"/>
      <c r="T265" s="535"/>
      <c r="U265" s="535"/>
      <c r="V265" s="535"/>
      <c r="W265" s="535"/>
      <c r="X265" s="535"/>
      <c r="Y265" s="642"/>
      <c r="Z265" s="642"/>
      <c r="AA265" s="642"/>
      <c r="AB265" s="642"/>
      <c r="AC265" s="535"/>
      <c r="AD265" s="535"/>
      <c r="AE265" s="609"/>
      <c r="AF265" s="609"/>
      <c r="AG265" s="609"/>
      <c r="AH265" s="609"/>
      <c r="AI265" s="609"/>
      <c r="AJ265" s="609"/>
      <c r="AK265" s="609"/>
    </row>
    <row r="266" spans="1:37">
      <c r="A266" s="604"/>
      <c r="B266" s="604" t="s">
        <v>1593</v>
      </c>
      <c r="C266" s="662"/>
      <c r="D266" s="826"/>
      <c r="E266" s="826"/>
      <c r="F266" s="826"/>
      <c r="G266" s="826"/>
      <c r="H266" s="826"/>
      <c r="I266" s="826"/>
      <c r="J266" s="826"/>
      <c r="K266" s="535"/>
      <c r="L266" s="535"/>
      <c r="M266" s="535"/>
      <c r="N266" s="535"/>
      <c r="O266" s="535"/>
      <c r="P266" s="535"/>
      <c r="Q266" s="535"/>
      <c r="R266" s="535"/>
      <c r="S266" s="535"/>
      <c r="T266" s="535"/>
      <c r="U266" s="535"/>
      <c r="V266" s="535"/>
      <c r="W266" s="535"/>
      <c r="X266" s="535"/>
      <c r="Y266" s="642"/>
      <c r="Z266" s="642"/>
      <c r="AA266" s="642"/>
      <c r="AB266" s="2502">
        <f>IFERROR(('Sources and Uses Budget'!D105/'Sources and Uses Budget'!B105),0)</f>
        <v>1.5975454445195939E-2</v>
      </c>
      <c r="AC266" s="2503"/>
      <c r="AD266" s="2503"/>
      <c r="AE266" s="2503"/>
      <c r="AF266" s="2503"/>
      <c r="AG266" s="2504"/>
      <c r="AH266" s="855"/>
      <c r="AI266" s="855"/>
      <c r="AJ266" s="855"/>
      <c r="AK266" s="609"/>
    </row>
    <row r="267" spans="1:37">
      <c r="A267" s="604"/>
      <c r="B267" s="475"/>
      <c r="C267" s="662"/>
      <c r="D267" s="826"/>
      <c r="E267" s="826"/>
      <c r="F267" s="826"/>
      <c r="G267" s="826"/>
      <c r="H267" s="826"/>
      <c r="I267" s="826"/>
      <c r="J267" s="826"/>
      <c r="K267" s="535"/>
      <c r="L267" s="535"/>
      <c r="M267" s="535"/>
      <c r="N267" s="535"/>
      <c r="O267" s="535"/>
      <c r="P267" s="535"/>
      <c r="Q267" s="535"/>
      <c r="R267" s="535"/>
      <c r="S267" s="535"/>
      <c r="T267" s="535"/>
      <c r="U267" s="535"/>
      <c r="V267" s="535"/>
      <c r="W267" s="535"/>
      <c r="X267" s="535"/>
      <c r="Y267" s="642"/>
      <c r="Z267" s="642"/>
      <c r="AA267" s="642"/>
      <c r="AB267" s="642"/>
      <c r="AC267" s="535"/>
      <c r="AD267" s="535"/>
      <c r="AE267" s="609"/>
      <c r="AF267" s="609"/>
      <c r="AG267" s="609"/>
      <c r="AH267" s="609"/>
      <c r="AI267" s="609"/>
      <c r="AJ267" s="609"/>
      <c r="AK267" s="609"/>
    </row>
    <row r="268" spans="1:37">
      <c r="A268" s="621"/>
      <c r="B268" s="446" t="s">
        <v>1374</v>
      </c>
      <c r="C268" s="622"/>
      <c r="D268" s="622"/>
      <c r="E268" s="622"/>
      <c r="F268" s="622"/>
      <c r="H268" s="623"/>
      <c r="I268" s="623"/>
      <c r="J268" s="623"/>
      <c r="K268" s="623"/>
      <c r="L268" s="623"/>
      <c r="M268" s="623"/>
      <c r="N268" s="623"/>
      <c r="O268" s="623"/>
      <c r="P268" s="623"/>
      <c r="Q268" s="623"/>
      <c r="R268" s="623"/>
      <c r="Y268" s="623"/>
      <c r="Z268" s="623"/>
      <c r="AA268" s="623"/>
      <c r="AB268" s="621"/>
      <c r="AC268" s="621"/>
      <c r="AD268" s="621"/>
      <c r="AE268" s="621"/>
      <c r="AG268" s="2492">
        <f>AD211*(1-AB266)</f>
        <v>38461901.316581994</v>
      </c>
      <c r="AH268" s="2492"/>
      <c r="AI268" s="2492"/>
      <c r="AJ268" s="2492"/>
      <c r="AK268" s="2492"/>
    </row>
    <row r="269" spans="1:37">
      <c r="A269" s="621"/>
      <c r="B269" s="624" t="s">
        <v>1375</v>
      </c>
      <c r="C269" s="625"/>
      <c r="D269" s="623"/>
      <c r="E269" s="623"/>
      <c r="F269" s="625"/>
      <c r="G269" s="625"/>
      <c r="H269" s="625"/>
      <c r="I269" s="625"/>
      <c r="J269" s="625"/>
      <c r="K269" s="625"/>
      <c r="L269" s="625"/>
      <c r="M269" s="623"/>
      <c r="N269" s="625"/>
      <c r="O269" s="625"/>
      <c r="P269" s="625"/>
      <c r="Q269" s="625"/>
      <c r="R269" s="625"/>
      <c r="Y269" s="623"/>
      <c r="Z269" s="623"/>
      <c r="AA269" s="623"/>
      <c r="AB269" s="621"/>
      <c r="AC269" s="621"/>
      <c r="AD269" s="621"/>
      <c r="AE269" s="621"/>
      <c r="AG269" s="2492">
        <f>'Sources and Uses Budget'!C105</f>
        <v>84363214</v>
      </c>
      <c r="AH269" s="2492"/>
      <c r="AI269" s="2492"/>
      <c r="AJ269" s="2492"/>
      <c r="AK269" s="2492"/>
    </row>
    <row r="270" spans="1:37">
      <c r="A270" s="621"/>
      <c r="B270" s="623" t="s">
        <v>13</v>
      </c>
      <c r="C270" s="623"/>
      <c r="D270" s="623"/>
      <c r="E270" s="623"/>
      <c r="F270" s="623"/>
      <c r="G270" s="623"/>
      <c r="H270" s="623"/>
      <c r="I270" s="623"/>
      <c r="J270" s="623"/>
      <c r="K270" s="623"/>
      <c r="L270" s="623"/>
      <c r="M270" s="623"/>
      <c r="N270" s="623"/>
      <c r="O270" s="623"/>
      <c r="P270" s="623"/>
      <c r="Q270" s="623"/>
      <c r="R270" s="623"/>
      <c r="Y270" s="623"/>
      <c r="Z270" s="623"/>
      <c r="AA270" s="623"/>
      <c r="AB270" s="621"/>
      <c r="AC270" s="621"/>
      <c r="AD270" s="621"/>
      <c r="AE270" s="621"/>
      <c r="AG270" s="2493">
        <f>ROUNDDOWN(IF(AND(C292="Yes",AK84=10),((AG268*2)/AG269),AG268/AG269),2)</f>
        <v>0.45</v>
      </c>
      <c r="AH270" s="2493"/>
      <c r="AI270" s="2493"/>
      <c r="AJ270" s="2493"/>
      <c r="AK270" s="2493"/>
    </row>
    <row r="271" spans="1:37">
      <c r="A271" s="621"/>
      <c r="B271" s="977" t="s">
        <v>1742</v>
      </c>
      <c r="C271" s="623"/>
      <c r="D271" s="623"/>
      <c r="E271" s="623"/>
      <c r="F271" s="623"/>
      <c r="G271" s="623"/>
      <c r="H271" s="623"/>
      <c r="I271" s="623"/>
      <c r="J271" s="623"/>
      <c r="K271" s="623"/>
      <c r="L271" s="623"/>
      <c r="M271" s="623"/>
      <c r="N271" s="623"/>
      <c r="O271" s="623"/>
      <c r="P271" s="623"/>
      <c r="Q271" s="623"/>
      <c r="R271" s="623"/>
      <c r="Y271" s="623"/>
      <c r="Z271" s="623"/>
      <c r="AA271" s="623"/>
      <c r="AB271" s="621"/>
      <c r="AC271" s="621"/>
      <c r="AD271" s="621"/>
      <c r="AE271" s="621"/>
      <c r="AG271" s="976"/>
      <c r="AH271" s="976"/>
      <c r="AI271" s="976"/>
      <c r="AJ271" s="976"/>
      <c r="AK271" s="976"/>
    </row>
    <row r="272" spans="1:37">
      <c r="A272" s="626"/>
      <c r="B272" s="626"/>
      <c r="C272" s="626"/>
      <c r="D272" s="626"/>
      <c r="E272" s="626"/>
      <c r="F272" s="626"/>
      <c r="G272" s="626"/>
      <c r="H272" s="626"/>
      <c r="I272" s="626"/>
      <c r="J272" s="626"/>
      <c r="K272" s="626"/>
      <c r="L272" s="626"/>
      <c r="M272" s="626"/>
      <c r="N272" s="626"/>
      <c r="O272" s="626"/>
      <c r="P272" s="626"/>
      <c r="Q272" s="626"/>
      <c r="R272" s="626"/>
      <c r="S272" s="626"/>
      <c r="T272" s="626"/>
      <c r="U272" s="626"/>
      <c r="V272" s="626"/>
      <c r="W272" s="626"/>
      <c r="X272" s="626"/>
      <c r="Y272" s="626"/>
      <c r="Z272" s="626"/>
      <c r="AA272" s="626"/>
      <c r="AB272" s="626"/>
      <c r="AC272" s="626"/>
      <c r="AD272" s="626"/>
      <c r="AE272" s="626"/>
      <c r="AF272" s="626"/>
      <c r="AG272" s="626"/>
      <c r="AH272" s="626"/>
      <c r="AI272" s="626"/>
      <c r="AJ272" s="626"/>
    </row>
    <row r="273" spans="1:52">
      <c r="A273" s="627"/>
      <c r="B273" s="627"/>
      <c r="C273" s="627"/>
      <c r="D273" s="627"/>
      <c r="E273" s="627"/>
      <c r="F273" s="627"/>
      <c r="G273" s="627"/>
      <c r="H273" s="627"/>
      <c r="I273" s="627"/>
      <c r="J273" s="627"/>
      <c r="K273" s="627"/>
      <c r="L273" s="627"/>
      <c r="M273" s="627"/>
      <c r="N273" s="627"/>
      <c r="O273" s="627"/>
      <c r="P273" s="627"/>
      <c r="Q273" s="627"/>
      <c r="R273" s="627"/>
      <c r="S273" s="627"/>
      <c r="T273" s="627"/>
      <c r="U273" s="627"/>
      <c r="V273" s="627"/>
      <c r="W273" s="627"/>
      <c r="X273" s="627"/>
      <c r="Y273" s="627"/>
      <c r="Z273" s="627"/>
      <c r="AA273" s="627"/>
      <c r="AB273" s="627"/>
      <c r="AC273" s="627"/>
      <c r="AD273" s="627"/>
      <c r="AE273" s="627"/>
      <c r="AF273" s="627"/>
      <c r="AG273" s="627"/>
      <c r="AH273" s="628"/>
      <c r="AI273" s="564"/>
      <c r="AJ273" s="564" t="s">
        <v>1376</v>
      </c>
      <c r="AK273" s="2494">
        <f>IFERROR(IF(AG270=0,0,IF((AG270*100)&gt;8,8,(AG270*100))),0)</f>
        <v>8</v>
      </c>
      <c r="AL273" s="2494"/>
      <c r="AM273" s="2495"/>
    </row>
    <row r="274" spans="1:52" ht="13.5" thickBot="1"/>
    <row r="275" spans="1:52" s="549" customFormat="1" ht="12.75" customHeight="1" thickTop="1">
      <c r="A275" s="611"/>
      <c r="B275" s="629"/>
      <c r="C275" s="629"/>
      <c r="D275" s="629"/>
      <c r="E275" s="629"/>
      <c r="F275" s="629"/>
      <c r="G275" s="629"/>
      <c r="H275" s="629"/>
      <c r="I275" s="629"/>
      <c r="J275" s="629"/>
      <c r="K275" s="629"/>
      <c r="L275" s="629"/>
      <c r="M275" s="629"/>
      <c r="N275" s="629"/>
      <c r="O275" s="629"/>
      <c r="P275" s="629"/>
      <c r="Q275" s="629"/>
      <c r="R275" s="629"/>
      <c r="S275" s="629"/>
      <c r="T275" s="629"/>
      <c r="U275" s="629"/>
      <c r="V275" s="629"/>
      <c r="W275" s="629"/>
      <c r="X275" s="629"/>
      <c r="Y275" s="629"/>
      <c r="Z275" s="629"/>
      <c r="AA275" s="629"/>
      <c r="AB275" s="629"/>
      <c r="AC275" s="630"/>
      <c r="AD275" s="629"/>
      <c r="AE275" s="629"/>
      <c r="AF275" s="629"/>
      <c r="AG275" s="629"/>
      <c r="AH275" s="611"/>
      <c r="AI275" s="631"/>
      <c r="AJ275" s="631"/>
      <c r="AK275" s="632"/>
      <c r="AL275" s="632"/>
      <c r="AM275" s="633"/>
      <c r="AN275" s="596"/>
      <c r="AP275" s="535"/>
      <c r="AQ275" s="535"/>
      <c r="AR275" s="535"/>
      <c r="AS275" s="535"/>
      <c r="AT275" s="535"/>
      <c r="AU275" s="535"/>
      <c r="AV275" s="535"/>
      <c r="AW275" s="535"/>
      <c r="AX275" s="535"/>
      <c r="AY275" s="535"/>
      <c r="AZ275" s="535"/>
    </row>
    <row r="276" spans="1:52">
      <c r="A276" s="537" t="s">
        <v>1377</v>
      </c>
      <c r="B276" s="537" t="s">
        <v>1378</v>
      </c>
      <c r="C276" s="538"/>
      <c r="D276" s="549"/>
      <c r="E276" s="549"/>
      <c r="F276" s="549"/>
      <c r="G276" s="549"/>
      <c r="H276" s="549"/>
      <c r="I276" s="549"/>
      <c r="J276" s="549"/>
      <c r="K276" s="549"/>
      <c r="L276" s="549"/>
      <c r="M276" s="549"/>
      <c r="N276" s="549"/>
      <c r="O276" s="549"/>
      <c r="P276" s="549"/>
      <c r="Q276" s="549"/>
      <c r="R276" s="549"/>
      <c r="S276" s="549"/>
      <c r="T276" s="549"/>
      <c r="U276" s="549"/>
      <c r="V276" s="549"/>
      <c r="W276" s="549"/>
      <c r="X276" s="549"/>
      <c r="Y276" s="549"/>
      <c r="Z276" s="549"/>
      <c r="AA276" s="549"/>
      <c r="AB276" s="549"/>
      <c r="AC276" s="549"/>
      <c r="AD276" s="549"/>
      <c r="AE276" s="549"/>
      <c r="AF276" s="549"/>
      <c r="AG276" s="549"/>
      <c r="AH276" s="590" t="s">
        <v>1315</v>
      </c>
      <c r="AI276" s="549"/>
      <c r="AJ276" s="549"/>
      <c r="AK276" s="549"/>
      <c r="AL276" s="549"/>
      <c r="AM276" s="549"/>
      <c r="AO276" s="549"/>
    </row>
    <row r="277" spans="1:52" ht="14.25" customHeight="1">
      <c r="A277" s="590"/>
      <c r="AI277" s="550"/>
      <c r="AJ277" s="549"/>
      <c r="AK277" s="549"/>
      <c r="AL277" s="549"/>
      <c r="AM277" s="549"/>
      <c r="AO277" s="549"/>
    </row>
    <row r="278" spans="1:52" ht="13.7" customHeight="1">
      <c r="A278" s="549"/>
      <c r="B278" s="595"/>
      <c r="C278" s="2486" t="s">
        <v>546</v>
      </c>
      <c r="D278" s="2486"/>
      <c r="E278" s="546"/>
      <c r="F278" s="2643" t="s">
        <v>2026</v>
      </c>
      <c r="G278" s="2644"/>
      <c r="H278" s="2644"/>
      <c r="I278" s="2644"/>
      <c r="J278" s="2644"/>
      <c r="K278" s="2644"/>
      <c r="L278" s="2644"/>
      <c r="M278" s="2644"/>
      <c r="N278" s="2644"/>
      <c r="O278" s="2644"/>
      <c r="P278" s="2644"/>
      <c r="Q278" s="2644"/>
      <c r="R278" s="2644"/>
      <c r="S278" s="2644"/>
      <c r="T278" s="2644"/>
      <c r="U278" s="2644"/>
      <c r="V278" s="2644"/>
      <c r="W278" s="2644"/>
      <c r="X278" s="2644"/>
      <c r="Y278" s="2644"/>
      <c r="Z278" s="2644"/>
      <c r="AA278" s="2644"/>
      <c r="AB278" s="2644"/>
      <c r="AC278" s="2644"/>
      <c r="AD278" s="2645"/>
      <c r="AE278" s="549"/>
      <c r="AF278" s="634"/>
      <c r="AG278" s="2487" t="s">
        <v>1364</v>
      </c>
      <c r="AH278" s="2487"/>
      <c r="AI278" s="2487"/>
      <c r="AJ278" s="2487"/>
      <c r="AK278" s="549"/>
      <c r="AL278" s="549"/>
      <c r="AM278" s="549"/>
      <c r="AO278" s="549"/>
    </row>
    <row r="279" spans="1:52" ht="13.7" customHeight="1">
      <c r="A279" s="549"/>
      <c r="B279" s="595"/>
      <c r="C279" s="635"/>
      <c r="D279" s="549"/>
      <c r="E279" s="546"/>
      <c r="F279" s="2646"/>
      <c r="G279" s="2647"/>
      <c r="H279" s="2647"/>
      <c r="I279" s="2647"/>
      <c r="J279" s="2647"/>
      <c r="K279" s="2647"/>
      <c r="L279" s="2647"/>
      <c r="M279" s="2647"/>
      <c r="N279" s="2647"/>
      <c r="O279" s="2647"/>
      <c r="P279" s="2647"/>
      <c r="Q279" s="2647"/>
      <c r="R279" s="2647"/>
      <c r="S279" s="2647"/>
      <c r="T279" s="2647"/>
      <c r="U279" s="2647"/>
      <c r="V279" s="2647"/>
      <c r="W279" s="2647"/>
      <c r="X279" s="2647"/>
      <c r="Y279" s="2647"/>
      <c r="Z279" s="2647"/>
      <c r="AA279" s="2647"/>
      <c r="AB279" s="2647"/>
      <c r="AC279" s="2647"/>
      <c r="AD279" s="2648"/>
      <c r="AE279" s="549"/>
      <c r="AF279" s="634"/>
      <c r="AG279" s="634"/>
      <c r="AH279" s="634"/>
      <c r="AI279" s="634"/>
      <c r="AJ279" s="549"/>
      <c r="AK279" s="549"/>
      <c r="AL279" s="549"/>
      <c r="AM279" s="549"/>
      <c r="AO279" s="549"/>
    </row>
    <row r="280" spans="1:52">
      <c r="A280" s="549"/>
      <c r="B280" s="595"/>
      <c r="C280" s="635"/>
      <c r="D280" s="549"/>
      <c r="E280" s="546"/>
      <c r="F280" s="2646"/>
      <c r="G280" s="2647"/>
      <c r="H280" s="2647"/>
      <c r="I280" s="2647"/>
      <c r="J280" s="2647"/>
      <c r="K280" s="2647"/>
      <c r="L280" s="2647"/>
      <c r="M280" s="2647"/>
      <c r="N280" s="2647"/>
      <c r="O280" s="2647"/>
      <c r="P280" s="2647"/>
      <c r="Q280" s="2647"/>
      <c r="R280" s="2647"/>
      <c r="S280" s="2647"/>
      <c r="T280" s="2647"/>
      <c r="U280" s="2647"/>
      <c r="V280" s="2647"/>
      <c r="W280" s="2647"/>
      <c r="X280" s="2647"/>
      <c r="Y280" s="2647"/>
      <c r="Z280" s="2647"/>
      <c r="AA280" s="2647"/>
      <c r="AB280" s="2647"/>
      <c r="AC280" s="2647"/>
      <c r="AD280" s="2648"/>
      <c r="AE280" s="549"/>
      <c r="AF280" s="634"/>
      <c r="AG280" s="634"/>
      <c r="AH280" s="634"/>
      <c r="AI280" s="634"/>
      <c r="AJ280" s="549"/>
      <c r="AK280" s="549"/>
      <c r="AL280" s="549"/>
      <c r="AM280" s="549"/>
      <c r="AO280" s="549"/>
      <c r="AP280" s="636"/>
    </row>
    <row r="281" spans="1:52">
      <c r="A281" s="549"/>
      <c r="B281" s="595"/>
      <c r="C281" s="635"/>
      <c r="D281" s="549"/>
      <c r="E281" s="546"/>
      <c r="F281" s="2646"/>
      <c r="G281" s="2647"/>
      <c r="H281" s="2647"/>
      <c r="I281" s="2647"/>
      <c r="J281" s="2647"/>
      <c r="K281" s="2647"/>
      <c r="L281" s="2647"/>
      <c r="M281" s="2647"/>
      <c r="N281" s="2647"/>
      <c r="O281" s="2647"/>
      <c r="P281" s="2647"/>
      <c r="Q281" s="2647"/>
      <c r="R281" s="2647"/>
      <c r="S281" s="2647"/>
      <c r="T281" s="2647"/>
      <c r="U281" s="2647"/>
      <c r="V281" s="2647"/>
      <c r="W281" s="2647"/>
      <c r="X281" s="2647"/>
      <c r="Y281" s="2647"/>
      <c r="Z281" s="2647"/>
      <c r="AA281" s="2647"/>
      <c r="AB281" s="2647"/>
      <c r="AC281" s="2647"/>
      <c r="AD281" s="2648"/>
      <c r="AE281" s="549"/>
      <c r="AF281" s="634"/>
      <c r="AG281" s="634"/>
      <c r="AH281" s="634"/>
      <c r="AI281" s="634"/>
      <c r="AJ281" s="549"/>
      <c r="AK281" s="549"/>
      <c r="AL281" s="549"/>
      <c r="AM281" s="549"/>
      <c r="AO281" s="549"/>
      <c r="AP281" s="636"/>
    </row>
    <row r="282" spans="1:52" ht="13.7" customHeight="1">
      <c r="A282" s="549"/>
      <c r="B282" s="595"/>
      <c r="C282" s="2488"/>
      <c r="D282" s="2488"/>
      <c r="E282" s="546"/>
      <c r="F282" s="2649"/>
      <c r="G282" s="2650"/>
      <c r="H282" s="2650"/>
      <c r="I282" s="2650"/>
      <c r="J282" s="2650"/>
      <c r="K282" s="2650"/>
      <c r="L282" s="2650"/>
      <c r="M282" s="2650"/>
      <c r="N282" s="2650"/>
      <c r="O282" s="2650"/>
      <c r="P282" s="2650"/>
      <c r="Q282" s="2650"/>
      <c r="R282" s="2650"/>
      <c r="S282" s="2650"/>
      <c r="T282" s="2650"/>
      <c r="U282" s="2650"/>
      <c r="V282" s="2650"/>
      <c r="W282" s="2650"/>
      <c r="X282" s="2650"/>
      <c r="Y282" s="2650"/>
      <c r="Z282" s="2650"/>
      <c r="AA282" s="2650"/>
      <c r="AB282" s="2650"/>
      <c r="AC282" s="2650"/>
      <c r="AD282" s="2651"/>
      <c r="AE282" s="549"/>
      <c r="AF282" s="634"/>
      <c r="AG282" s="2487"/>
      <c r="AH282" s="2487"/>
      <c r="AI282" s="2487"/>
      <c r="AJ282" s="2487"/>
      <c r="AK282" s="549"/>
      <c r="AL282" s="549"/>
      <c r="AM282" s="549"/>
    </row>
    <row r="283" spans="1:52" ht="13.7" hidden="1" customHeight="1">
      <c r="A283" s="549"/>
      <c r="C283" s="602"/>
      <c r="D283" s="602"/>
      <c r="E283" s="602"/>
      <c r="F283" s="1022"/>
      <c r="G283" s="1023"/>
      <c r="H283" s="1023"/>
      <c r="I283" s="1023"/>
      <c r="J283" s="1023"/>
      <c r="K283" s="1023"/>
      <c r="L283" s="1023"/>
      <c r="M283" s="1023"/>
      <c r="N283" s="1023"/>
      <c r="O283" s="1023"/>
      <c r="P283" s="1023"/>
      <c r="Q283" s="1023"/>
      <c r="R283" s="1023"/>
      <c r="S283" s="1023"/>
      <c r="T283" s="1023"/>
      <c r="U283" s="1023"/>
      <c r="V283" s="1023"/>
      <c r="W283" s="1023"/>
      <c r="X283" s="1023"/>
      <c r="Y283" s="1023"/>
      <c r="Z283" s="1023"/>
      <c r="AA283" s="1023"/>
      <c r="AB283" s="1023"/>
      <c r="AC283" s="1023"/>
      <c r="AD283" s="1024"/>
      <c r="AE283" s="602"/>
      <c r="AF283" s="602"/>
      <c r="AG283" s="602"/>
      <c r="AH283" s="602"/>
      <c r="AI283" s="634"/>
      <c r="AJ283" s="549"/>
      <c r="AK283" s="549"/>
      <c r="AL283" s="549"/>
      <c r="AM283" s="549"/>
    </row>
    <row r="284" spans="1:52">
      <c r="A284" s="549"/>
      <c r="B284" s="602"/>
      <c r="C284" s="602"/>
      <c r="D284" s="602"/>
      <c r="E284" s="602"/>
      <c r="F284" s="602"/>
      <c r="G284" s="602"/>
      <c r="H284" s="602"/>
      <c r="I284" s="602"/>
      <c r="J284" s="602"/>
      <c r="K284" s="602"/>
      <c r="L284" s="602"/>
      <c r="M284" s="602"/>
      <c r="N284" s="602"/>
      <c r="O284" s="602"/>
      <c r="P284" s="602"/>
      <c r="Q284" s="602"/>
      <c r="R284" s="602"/>
      <c r="S284" s="602"/>
      <c r="T284" s="602"/>
      <c r="U284" s="602"/>
      <c r="V284" s="602"/>
      <c r="W284" s="602"/>
      <c r="X284" s="602"/>
      <c r="Y284" s="602"/>
      <c r="Z284" s="602"/>
      <c r="AA284" s="602"/>
      <c r="AB284" s="602"/>
      <c r="AC284" s="602"/>
      <c r="AD284" s="602"/>
      <c r="AE284" s="602"/>
      <c r="AF284" s="602"/>
      <c r="AG284" s="602"/>
      <c r="AH284" s="602"/>
      <c r="AI284" s="602"/>
      <c r="AJ284" s="602"/>
      <c r="AK284" s="602"/>
      <c r="AL284" s="549"/>
      <c r="AM284" s="549"/>
      <c r="AN284" s="73"/>
    </row>
    <row r="285" spans="1:52">
      <c r="A285" s="605"/>
      <c r="B285" s="563"/>
      <c r="C285" s="563"/>
      <c r="D285" s="563"/>
      <c r="E285" s="563"/>
      <c r="F285" s="563"/>
      <c r="G285" s="563"/>
      <c r="H285" s="563"/>
      <c r="I285" s="563"/>
      <c r="J285" s="563"/>
      <c r="K285" s="563"/>
      <c r="L285" s="563"/>
      <c r="M285" s="563"/>
      <c r="N285" s="563"/>
      <c r="O285" s="563"/>
      <c r="P285" s="563"/>
      <c r="Q285" s="563"/>
      <c r="R285" s="563"/>
      <c r="S285" s="563"/>
      <c r="T285" s="563"/>
      <c r="U285" s="563"/>
      <c r="V285" s="563"/>
      <c r="W285" s="563"/>
      <c r="X285" s="563"/>
      <c r="Y285" s="563"/>
      <c r="Z285" s="563"/>
      <c r="AA285" s="563"/>
      <c r="AB285" s="563"/>
      <c r="AC285" s="563"/>
      <c r="AD285" s="563"/>
      <c r="AE285" s="563"/>
      <c r="AF285" s="563"/>
      <c r="AG285" s="563"/>
      <c r="AH285" s="563"/>
      <c r="AI285" s="564"/>
      <c r="AJ285" s="564" t="s">
        <v>1380</v>
      </c>
      <c r="AK285" s="2494">
        <f>IF($C$278="yes",10,0)</f>
        <v>10</v>
      </c>
      <c r="AL285" s="2494"/>
      <c r="AM285" s="2495"/>
      <c r="AN285" s="73"/>
    </row>
    <row r="286" spans="1:52" ht="13.5" thickBot="1"/>
    <row r="287" spans="1:52" ht="13.5" thickTop="1">
      <c r="A287" s="637"/>
      <c r="B287" s="637"/>
      <c r="C287" s="637"/>
      <c r="D287" s="637"/>
      <c r="E287" s="637"/>
      <c r="F287" s="637"/>
      <c r="G287" s="637"/>
      <c r="H287" s="637"/>
      <c r="I287" s="637"/>
      <c r="J287" s="637"/>
      <c r="K287" s="637"/>
      <c r="L287" s="637"/>
      <c r="M287" s="637"/>
      <c r="N287" s="637"/>
      <c r="O287" s="637"/>
      <c r="P287" s="637"/>
      <c r="Q287" s="637"/>
      <c r="R287" s="637"/>
      <c r="S287" s="637"/>
      <c r="T287" s="637"/>
      <c r="U287" s="637"/>
      <c r="V287" s="637"/>
      <c r="W287" s="637"/>
      <c r="X287" s="637"/>
      <c r="Y287" s="637"/>
      <c r="Z287" s="637"/>
      <c r="AA287" s="637"/>
      <c r="AB287" s="637"/>
      <c r="AC287" s="637"/>
      <c r="AD287" s="637"/>
      <c r="AE287" s="637"/>
      <c r="AF287" s="637"/>
      <c r="AG287" s="637"/>
      <c r="AH287" s="637"/>
      <c r="AI287" s="637"/>
      <c r="AJ287" s="637"/>
      <c r="AK287" s="637"/>
      <c r="AL287" s="637"/>
      <c r="AM287" s="638"/>
    </row>
    <row r="288" spans="1:52">
      <c r="A288" s="537" t="s">
        <v>1381</v>
      </c>
      <c r="B288" s="537" t="s">
        <v>1855</v>
      </c>
      <c r="AH288" s="590" t="s">
        <v>1315</v>
      </c>
    </row>
    <row r="289" spans="1:49" ht="15" customHeight="1">
      <c r="B289" s="538"/>
    </row>
    <row r="290" spans="1:49" ht="15" customHeight="1">
      <c r="B290" s="538" t="s">
        <v>1729</v>
      </c>
    </row>
    <row r="291" spans="1:49">
      <c r="B291" s="549"/>
      <c r="C291" s="639"/>
      <c r="D291" s="549"/>
      <c r="E291" s="549"/>
      <c r="F291" s="549"/>
      <c r="G291" s="549"/>
      <c r="H291" s="549"/>
      <c r="I291" s="549"/>
      <c r="J291" s="549"/>
      <c r="K291" s="549"/>
      <c r="L291" s="549"/>
      <c r="M291" s="549"/>
      <c r="N291" s="549"/>
      <c r="O291" s="549"/>
      <c r="P291" s="549"/>
      <c r="Q291" s="549"/>
      <c r="R291" s="549"/>
      <c r="S291" s="549"/>
      <c r="T291" s="549"/>
      <c r="U291" s="549"/>
      <c r="V291" s="549"/>
      <c r="W291" s="549"/>
      <c r="X291" s="549"/>
      <c r="Y291" s="549"/>
      <c r="Z291" s="549"/>
      <c r="AA291" s="549"/>
      <c r="AB291" s="549"/>
      <c r="AC291" s="549"/>
      <c r="AD291" s="549"/>
      <c r="AG291" s="549"/>
      <c r="AI291" s="549"/>
      <c r="AJ291" s="549"/>
      <c r="AK291" s="549"/>
      <c r="AL291" s="549"/>
      <c r="AM291" s="549"/>
      <c r="AN291" s="73"/>
      <c r="AO291" s="14"/>
      <c r="AP291" s="569"/>
      <c r="AQ291" s="640"/>
      <c r="AR291" s="569"/>
      <c r="AS291" s="569"/>
      <c r="AT291" s="569"/>
      <c r="AU291" s="569"/>
      <c r="AV291" s="32"/>
      <c r="AW291" s="32"/>
    </row>
    <row r="292" spans="1:49" ht="12.75" customHeight="1">
      <c r="A292" s="1645" t="s">
        <v>1383</v>
      </c>
      <c r="B292" s="1645"/>
      <c r="C292" s="2482" t="s">
        <v>592</v>
      </c>
      <c r="D292" s="2486"/>
      <c r="E292" s="546"/>
      <c r="F292" s="2514" t="s">
        <v>1384</v>
      </c>
      <c r="G292" s="2515"/>
      <c r="H292" s="2515"/>
      <c r="I292" s="2515"/>
      <c r="J292" s="2515"/>
      <c r="K292" s="2515"/>
      <c r="L292" s="2515"/>
      <c r="M292" s="2515"/>
      <c r="N292" s="2515"/>
      <c r="O292" s="2515"/>
      <c r="P292" s="2515"/>
      <c r="Q292" s="2515"/>
      <c r="R292" s="2515"/>
      <c r="S292" s="2515"/>
      <c r="T292" s="2515"/>
      <c r="U292" s="2515"/>
      <c r="V292" s="2515"/>
      <c r="W292" s="2515"/>
      <c r="X292" s="2515"/>
      <c r="Y292" s="2515"/>
      <c r="Z292" s="2515"/>
      <c r="AA292" s="2515"/>
      <c r="AB292" s="2515"/>
      <c r="AC292" s="2515"/>
      <c r="AD292" s="2516"/>
      <c r="AE292" s="641"/>
      <c r="AF292" s="549"/>
      <c r="AG292" s="2517" t="s">
        <v>2019</v>
      </c>
      <c r="AH292" s="2517"/>
      <c r="AI292" s="2517"/>
      <c r="AJ292" s="2517"/>
      <c r="AK292" s="2517"/>
      <c r="AL292" s="549"/>
      <c r="AM292" s="549"/>
      <c r="AN292" s="73"/>
      <c r="AO292" s="14"/>
      <c r="AP292" s="30"/>
      <c r="AS292" s="569"/>
      <c r="AT292" s="569"/>
      <c r="AU292" s="569"/>
      <c r="AV292" s="32"/>
      <c r="AW292" s="32"/>
    </row>
    <row r="293" spans="1:49">
      <c r="A293" s="639"/>
      <c r="B293" s="595"/>
      <c r="F293" s="2508"/>
      <c r="G293" s="2509"/>
      <c r="H293" s="2509"/>
      <c r="I293" s="2509"/>
      <c r="J293" s="2509"/>
      <c r="K293" s="2509"/>
      <c r="L293" s="2509"/>
      <c r="M293" s="2509"/>
      <c r="N293" s="2509"/>
      <c r="O293" s="2509"/>
      <c r="P293" s="2509"/>
      <c r="Q293" s="2509"/>
      <c r="R293" s="2509"/>
      <c r="S293" s="2509"/>
      <c r="T293" s="2509"/>
      <c r="U293" s="2509"/>
      <c r="V293" s="2509"/>
      <c r="W293" s="2509"/>
      <c r="X293" s="2509"/>
      <c r="Y293" s="2509"/>
      <c r="Z293" s="2509"/>
      <c r="AA293" s="2509"/>
      <c r="AB293" s="2509"/>
      <c r="AC293" s="2509"/>
      <c r="AD293" s="2510"/>
      <c r="AE293" s="641"/>
      <c r="AF293" s="550"/>
      <c r="AH293" s="550"/>
      <c r="AI293" s="550"/>
      <c r="AJ293" s="549"/>
      <c r="AK293" s="549"/>
      <c r="AL293" s="549"/>
      <c r="AM293" s="549"/>
      <c r="AN293" s="73"/>
      <c r="AO293" s="14"/>
      <c r="AP293" s="549">
        <f>IF($C$292="yes",10,IF(C292="50% Met",9,0))</f>
        <v>0</v>
      </c>
      <c r="AS293" s="569"/>
      <c r="AT293" s="569"/>
      <c r="AU293" s="569"/>
      <c r="AV293" s="32"/>
      <c r="AW293" s="32"/>
    </row>
    <row r="294" spans="1:49" ht="15" customHeight="1">
      <c r="A294" s="639"/>
      <c r="B294" s="595"/>
      <c r="F294" s="2508"/>
      <c r="G294" s="2509"/>
      <c r="H294" s="2509"/>
      <c r="I294" s="2509"/>
      <c r="J294" s="2509"/>
      <c r="K294" s="2509"/>
      <c r="L294" s="2509"/>
      <c r="M294" s="2509"/>
      <c r="N294" s="2509"/>
      <c r="O294" s="2509"/>
      <c r="P294" s="2509"/>
      <c r="Q294" s="2509"/>
      <c r="R294" s="2509"/>
      <c r="S294" s="2509"/>
      <c r="T294" s="2509"/>
      <c r="U294" s="2509"/>
      <c r="V294" s="2509"/>
      <c r="W294" s="2509"/>
      <c r="X294" s="2509"/>
      <c r="Y294" s="2509"/>
      <c r="Z294" s="2509"/>
      <c r="AA294" s="2509"/>
      <c r="AB294" s="2509"/>
      <c r="AC294" s="2509"/>
      <c r="AD294" s="2510"/>
      <c r="AE294" s="641"/>
      <c r="AF294" s="550"/>
      <c r="AH294" s="550"/>
      <c r="AI294" s="550"/>
      <c r="AJ294" s="549"/>
      <c r="AK294" s="549"/>
      <c r="AL294" s="549"/>
      <c r="AM294" s="549"/>
      <c r="AN294" s="73"/>
      <c r="AO294" s="14"/>
      <c r="AP294" s="549">
        <f>IF($C$302="yes",9,0)</f>
        <v>9</v>
      </c>
      <c r="AS294" s="569"/>
      <c r="AT294" s="569"/>
      <c r="AU294" s="569"/>
      <c r="AV294" s="32"/>
      <c r="AW294" s="32"/>
    </row>
    <row r="295" spans="1:49" ht="12.75" customHeight="1">
      <c r="A295" s="639"/>
      <c r="B295" s="595"/>
      <c r="F295" s="2508" t="s">
        <v>2027</v>
      </c>
      <c r="G295" s="2509"/>
      <c r="H295" s="2509"/>
      <c r="I295" s="2509"/>
      <c r="J295" s="2509"/>
      <c r="K295" s="2509"/>
      <c r="L295" s="2509"/>
      <c r="M295" s="2509"/>
      <c r="N295" s="2509"/>
      <c r="O295" s="2509"/>
      <c r="P295" s="2509"/>
      <c r="Q295" s="2509"/>
      <c r="R295" s="2509"/>
      <c r="S295" s="2509"/>
      <c r="T295" s="2509"/>
      <c r="U295" s="2509"/>
      <c r="V295" s="2509"/>
      <c r="W295" s="2509"/>
      <c r="X295" s="2509"/>
      <c r="Y295" s="2509"/>
      <c r="Z295" s="2509"/>
      <c r="AA295" s="2509"/>
      <c r="AB295" s="2509"/>
      <c r="AC295" s="2509"/>
      <c r="AD295" s="2510"/>
      <c r="AE295" s="641"/>
      <c r="AF295" s="550"/>
      <c r="AH295" s="550"/>
      <c r="AI295" s="550"/>
      <c r="AJ295" s="549"/>
      <c r="AK295" s="549"/>
      <c r="AL295" s="549"/>
      <c r="AM295" s="549"/>
      <c r="AN295" s="73"/>
      <c r="AO295" s="14"/>
      <c r="AP295" s="610">
        <f>MAX(AP293,AP294)</f>
        <v>9</v>
      </c>
      <c r="AQ295" s="573" t="s">
        <v>1317</v>
      </c>
      <c r="AS295" s="569"/>
      <c r="AT295" s="569"/>
      <c r="AU295" s="569"/>
      <c r="AV295" s="32"/>
      <c r="AW295" s="32"/>
    </row>
    <row r="296" spans="1:49">
      <c r="A296" s="639"/>
      <c r="B296" s="595"/>
      <c r="F296" s="2508"/>
      <c r="G296" s="2509"/>
      <c r="H296" s="2509"/>
      <c r="I296" s="2509"/>
      <c r="J296" s="2509"/>
      <c r="K296" s="2509"/>
      <c r="L296" s="2509"/>
      <c r="M296" s="2509"/>
      <c r="N296" s="2509"/>
      <c r="O296" s="2509"/>
      <c r="P296" s="2509"/>
      <c r="Q296" s="2509"/>
      <c r="R296" s="2509"/>
      <c r="S296" s="2509"/>
      <c r="T296" s="2509"/>
      <c r="U296" s="2509"/>
      <c r="V296" s="2509"/>
      <c r="W296" s="2509"/>
      <c r="X296" s="2509"/>
      <c r="Y296" s="2509"/>
      <c r="Z296" s="2509"/>
      <c r="AA296" s="2509"/>
      <c r="AB296" s="2509"/>
      <c r="AC296" s="2509"/>
      <c r="AD296" s="2510"/>
      <c r="AE296" s="641"/>
      <c r="AF296" s="550"/>
      <c r="AH296" s="550"/>
      <c r="AI296" s="550"/>
      <c r="AJ296" s="549"/>
      <c r="AK296" s="549"/>
      <c r="AL296" s="549"/>
      <c r="AM296" s="549"/>
      <c r="AN296" s="73"/>
      <c r="AO296" s="14"/>
      <c r="AP296" s="549"/>
      <c r="AS296" s="569"/>
      <c r="AT296" s="569"/>
      <c r="AU296" s="569"/>
      <c r="AV296" s="32"/>
      <c r="AW296" s="32"/>
    </row>
    <row r="297" spans="1:49" ht="12.75" customHeight="1">
      <c r="A297" s="549"/>
      <c r="B297" s="550"/>
      <c r="C297" s="549"/>
      <c r="D297" s="550"/>
      <c r="E297" s="549"/>
      <c r="F297" s="2508" t="s">
        <v>1385</v>
      </c>
      <c r="G297" s="2509"/>
      <c r="H297" s="2509"/>
      <c r="I297" s="2509"/>
      <c r="J297" s="2509"/>
      <c r="K297" s="2509"/>
      <c r="L297" s="2509"/>
      <c r="M297" s="2509"/>
      <c r="N297" s="2509"/>
      <c r="O297" s="2509"/>
      <c r="P297" s="2509"/>
      <c r="Q297" s="2509"/>
      <c r="R297" s="2509"/>
      <c r="S297" s="2509"/>
      <c r="T297" s="2509"/>
      <c r="U297" s="2509"/>
      <c r="V297" s="2509"/>
      <c r="W297" s="2509"/>
      <c r="X297" s="2509"/>
      <c r="Y297" s="2509"/>
      <c r="Z297" s="2509"/>
      <c r="AA297" s="2509"/>
      <c r="AB297" s="2509"/>
      <c r="AC297" s="2509"/>
      <c r="AD297" s="2510"/>
      <c r="AE297" s="641"/>
      <c r="AF297" s="550"/>
      <c r="AG297" s="550"/>
      <c r="AH297" s="550"/>
      <c r="AI297" s="550"/>
      <c r="AJ297" s="549"/>
      <c r="AK297" s="549"/>
      <c r="AL297" s="549"/>
      <c r="AM297" s="549"/>
      <c r="AN297" s="73"/>
      <c r="AO297" s="14"/>
      <c r="AS297" s="569"/>
      <c r="AT297" s="569"/>
      <c r="AU297" s="569"/>
      <c r="AV297" s="32"/>
      <c r="AW297" s="32"/>
    </row>
    <row r="298" spans="1:49" ht="15" customHeight="1">
      <c r="A298" s="549"/>
      <c r="B298" s="550"/>
      <c r="C298" s="550"/>
      <c r="D298" s="550"/>
      <c r="E298" s="550"/>
      <c r="F298" s="2508"/>
      <c r="G298" s="2509"/>
      <c r="H298" s="2509"/>
      <c r="I298" s="2509"/>
      <c r="J298" s="2509"/>
      <c r="K298" s="2509"/>
      <c r="L298" s="2509"/>
      <c r="M298" s="2509"/>
      <c r="N298" s="2509"/>
      <c r="O298" s="2509"/>
      <c r="P298" s="2509"/>
      <c r="Q298" s="2509"/>
      <c r="R298" s="2509"/>
      <c r="S298" s="2509"/>
      <c r="T298" s="2509"/>
      <c r="U298" s="2509"/>
      <c r="V298" s="2509"/>
      <c r="W298" s="2509"/>
      <c r="X298" s="2509"/>
      <c r="Y298" s="2509"/>
      <c r="Z298" s="2509"/>
      <c r="AA298" s="2509"/>
      <c r="AB298" s="2509"/>
      <c r="AC298" s="2509"/>
      <c r="AD298" s="2510"/>
      <c r="AE298" s="641"/>
      <c r="AF298" s="550"/>
      <c r="AG298" s="550"/>
      <c r="AH298" s="550"/>
      <c r="AI298" s="550"/>
      <c r="AJ298" s="549"/>
      <c r="AK298" s="549"/>
      <c r="AL298" s="549"/>
      <c r="AM298" s="549"/>
      <c r="AN298" s="73"/>
      <c r="AO298" s="14"/>
      <c r="AS298" s="569"/>
      <c r="AT298" s="569"/>
      <c r="AU298" s="569"/>
      <c r="AV298" s="32"/>
      <c r="AW298" s="32"/>
    </row>
    <row r="299" spans="1:49" ht="12.75" customHeight="1">
      <c r="A299" s="549"/>
      <c r="B299" s="550"/>
      <c r="C299" s="550"/>
      <c r="D299" s="550"/>
      <c r="E299" s="550"/>
      <c r="F299" s="2508" t="s">
        <v>1386</v>
      </c>
      <c r="G299" s="2509"/>
      <c r="H299" s="2509"/>
      <c r="I299" s="2509"/>
      <c r="J299" s="2509"/>
      <c r="K299" s="2509"/>
      <c r="L299" s="2509"/>
      <c r="M299" s="2509"/>
      <c r="N299" s="2509"/>
      <c r="O299" s="2509"/>
      <c r="P299" s="2509"/>
      <c r="Q299" s="2509"/>
      <c r="R299" s="2509"/>
      <c r="S299" s="2509"/>
      <c r="T299" s="2509"/>
      <c r="U299" s="2509"/>
      <c r="V299" s="2509"/>
      <c r="W299" s="2509"/>
      <c r="X299" s="2509"/>
      <c r="Y299" s="2509"/>
      <c r="Z299" s="2509"/>
      <c r="AA299" s="2509"/>
      <c r="AB299" s="2509"/>
      <c r="AC299" s="2509"/>
      <c r="AD299" s="2510"/>
      <c r="AE299" s="642"/>
      <c r="AF299" s="550"/>
      <c r="AG299" s="550"/>
      <c r="AH299" s="550"/>
      <c r="AI299" s="550"/>
      <c r="AJ299" s="549"/>
      <c r="AK299" s="549"/>
      <c r="AL299" s="549"/>
      <c r="AM299" s="549"/>
      <c r="AN299" s="73"/>
      <c r="AO299" s="14"/>
      <c r="AP299" s="549"/>
      <c r="AS299" s="569"/>
      <c r="AT299" s="569"/>
      <c r="AU299" s="569"/>
      <c r="AV299" s="32"/>
      <c r="AW299" s="32"/>
    </row>
    <row r="300" spans="1:49">
      <c r="A300" s="549"/>
      <c r="B300" s="550"/>
      <c r="C300" s="550"/>
      <c r="D300" s="550"/>
      <c r="E300" s="550"/>
      <c r="F300" s="2511"/>
      <c r="G300" s="2512"/>
      <c r="H300" s="2512"/>
      <c r="I300" s="2512"/>
      <c r="J300" s="2512"/>
      <c r="K300" s="2512"/>
      <c r="L300" s="2512"/>
      <c r="M300" s="2512"/>
      <c r="N300" s="2512"/>
      <c r="O300" s="2512"/>
      <c r="P300" s="2512"/>
      <c r="Q300" s="2512"/>
      <c r="R300" s="2512"/>
      <c r="S300" s="2512"/>
      <c r="T300" s="2512"/>
      <c r="U300" s="2512"/>
      <c r="V300" s="2512"/>
      <c r="W300" s="2512"/>
      <c r="X300" s="2512"/>
      <c r="Y300" s="2512"/>
      <c r="Z300" s="2512"/>
      <c r="AA300" s="2512"/>
      <c r="AB300" s="2512"/>
      <c r="AC300" s="2512"/>
      <c r="AD300" s="2513"/>
      <c r="AE300" s="642"/>
      <c r="AF300" s="550"/>
      <c r="AG300" s="550"/>
      <c r="AH300" s="550"/>
      <c r="AI300" s="550"/>
      <c r="AJ300" s="549"/>
      <c r="AK300" s="549"/>
      <c r="AL300" s="549"/>
      <c r="AM300" s="549"/>
      <c r="AN300" s="73"/>
      <c r="AO300" s="14"/>
      <c r="AP300" s="549"/>
      <c r="AS300" s="569"/>
      <c r="AT300" s="569"/>
      <c r="AU300" s="569"/>
      <c r="AV300" s="32"/>
      <c r="AW300" s="32"/>
    </row>
    <row r="301" spans="1:49">
      <c r="A301" s="549"/>
      <c r="B301" s="550"/>
      <c r="C301" s="550"/>
      <c r="D301" s="550"/>
      <c r="E301" s="550"/>
      <c r="F301" s="642"/>
      <c r="G301" s="642"/>
      <c r="H301" s="642"/>
      <c r="I301" s="642"/>
      <c r="J301" s="642"/>
      <c r="K301" s="642"/>
      <c r="L301" s="642"/>
      <c r="M301" s="642"/>
      <c r="N301" s="642"/>
      <c r="O301" s="642"/>
      <c r="P301" s="642"/>
      <c r="Q301" s="642"/>
      <c r="R301" s="642"/>
      <c r="S301" s="642"/>
      <c r="T301" s="642"/>
      <c r="U301" s="642"/>
      <c r="V301" s="642"/>
      <c r="W301" s="642"/>
      <c r="X301" s="642"/>
      <c r="Y301" s="642"/>
      <c r="Z301" s="642"/>
      <c r="AA301" s="642"/>
      <c r="AB301" s="642"/>
      <c r="AC301" s="642"/>
      <c r="AD301" s="642"/>
      <c r="AE301" s="550"/>
      <c r="AF301" s="550"/>
      <c r="AG301" s="550"/>
      <c r="AH301" s="550"/>
      <c r="AI301" s="550"/>
      <c r="AJ301" s="549"/>
      <c r="AK301" s="549"/>
      <c r="AL301" s="549"/>
      <c r="AM301" s="549"/>
      <c r="AN301" s="73"/>
      <c r="AO301" s="14"/>
      <c r="AS301" s="569"/>
      <c r="AT301" s="569"/>
      <c r="AU301" s="569"/>
      <c r="AV301" s="32"/>
      <c r="AW301" s="32"/>
    </row>
    <row r="302" spans="1:49" ht="15" customHeight="1">
      <c r="A302" s="1645" t="s">
        <v>1387</v>
      </c>
      <c r="B302" s="1645"/>
      <c r="C302" s="2486" t="s">
        <v>546</v>
      </c>
      <c r="D302" s="2486"/>
      <c r="E302" s="546"/>
      <c r="F302" s="643" t="s">
        <v>2020</v>
      </c>
      <c r="G302" s="644"/>
      <c r="H302" s="644"/>
      <c r="I302" s="644"/>
      <c r="J302" s="644"/>
      <c r="K302" s="644"/>
      <c r="L302" s="644"/>
      <c r="M302" s="644"/>
      <c r="N302" s="644"/>
      <c r="O302" s="644"/>
      <c r="P302" s="644"/>
      <c r="Q302" s="644"/>
      <c r="R302" s="644"/>
      <c r="S302" s="644"/>
      <c r="T302" s="644"/>
      <c r="U302" s="644"/>
      <c r="V302" s="644"/>
      <c r="W302" s="644"/>
      <c r="X302" s="644"/>
      <c r="Y302" s="644"/>
      <c r="Z302" s="644"/>
      <c r="AA302" s="644"/>
      <c r="AB302" s="644"/>
      <c r="AC302" s="644"/>
      <c r="AD302" s="645"/>
      <c r="AE302" s="550"/>
      <c r="AF302" s="550"/>
      <c r="AG302" s="538" t="s">
        <v>1389</v>
      </c>
      <c r="AH302" s="550"/>
      <c r="AI302" s="550"/>
      <c r="AJ302" s="549"/>
      <c r="AK302" s="549"/>
      <c r="AL302" s="549"/>
      <c r="AM302" s="549"/>
      <c r="AN302" s="646"/>
      <c r="AO302" s="14"/>
    </row>
    <row r="303" spans="1:49">
      <c r="A303" s="549"/>
      <c r="B303" s="550"/>
      <c r="C303" s="549"/>
      <c r="D303" s="550"/>
      <c r="E303" s="549"/>
      <c r="F303" s="2416" t="s">
        <v>2021</v>
      </c>
      <c r="G303" s="2417"/>
      <c r="H303" s="2417"/>
      <c r="I303" s="2417"/>
      <c r="J303" s="2417"/>
      <c r="K303" s="2417"/>
      <c r="L303" s="2417"/>
      <c r="M303" s="2417"/>
      <c r="N303" s="2417"/>
      <c r="O303" s="2417"/>
      <c r="P303" s="2417"/>
      <c r="Q303" s="2417"/>
      <c r="R303" s="2417"/>
      <c r="S303" s="2417"/>
      <c r="T303" s="2417"/>
      <c r="U303" s="2417"/>
      <c r="V303" s="2417"/>
      <c r="W303" s="2417"/>
      <c r="X303" s="2417"/>
      <c r="Y303" s="2417"/>
      <c r="Z303" s="2417"/>
      <c r="AA303" s="2417"/>
      <c r="AB303" s="2417"/>
      <c r="AC303" s="2417"/>
      <c r="AD303" s="2418"/>
      <c r="AE303" s="550"/>
      <c r="AF303" s="550"/>
      <c r="AG303" s="550"/>
      <c r="AH303" s="550"/>
      <c r="AI303" s="550"/>
      <c r="AJ303" s="549"/>
      <c r="AK303" s="549"/>
      <c r="AL303" s="549"/>
      <c r="AM303" s="549"/>
      <c r="AR303" s="647"/>
    </row>
    <row r="304" spans="1:49" ht="15" customHeight="1">
      <c r="A304" s="549"/>
      <c r="B304" s="550"/>
      <c r="C304" s="549"/>
      <c r="D304" s="550"/>
      <c r="E304" s="549"/>
      <c r="F304" s="2416"/>
      <c r="G304" s="2417"/>
      <c r="H304" s="2417"/>
      <c r="I304" s="2417"/>
      <c r="J304" s="2417"/>
      <c r="K304" s="2417"/>
      <c r="L304" s="2417"/>
      <c r="M304" s="2417"/>
      <c r="N304" s="2417"/>
      <c r="O304" s="2417"/>
      <c r="P304" s="2417"/>
      <c r="Q304" s="2417"/>
      <c r="R304" s="2417"/>
      <c r="S304" s="2417"/>
      <c r="T304" s="2417"/>
      <c r="U304" s="2417"/>
      <c r="V304" s="2417"/>
      <c r="W304" s="2417"/>
      <c r="X304" s="2417"/>
      <c r="Y304" s="2417"/>
      <c r="Z304" s="2417"/>
      <c r="AA304" s="2417"/>
      <c r="AB304" s="2417"/>
      <c r="AC304" s="2417"/>
      <c r="AD304" s="2418"/>
      <c r="AE304" s="550"/>
      <c r="AF304" s="550"/>
      <c r="AG304" s="550"/>
      <c r="AH304" s="550"/>
      <c r="AI304" s="550"/>
      <c r="AJ304" s="549"/>
      <c r="AK304" s="549"/>
      <c r="AL304" s="549"/>
      <c r="AM304" s="549"/>
      <c r="AR304" s="647"/>
    </row>
    <row r="305" spans="1:44">
      <c r="A305" s="549"/>
      <c r="B305" s="550"/>
      <c r="C305" s="549"/>
      <c r="D305" s="550"/>
      <c r="E305" s="549"/>
      <c r="F305" s="2416"/>
      <c r="G305" s="2417"/>
      <c r="H305" s="2417"/>
      <c r="I305" s="2417"/>
      <c r="J305" s="2417"/>
      <c r="K305" s="2417"/>
      <c r="L305" s="2417"/>
      <c r="M305" s="2417"/>
      <c r="N305" s="2417"/>
      <c r="O305" s="2417"/>
      <c r="P305" s="2417"/>
      <c r="Q305" s="2417"/>
      <c r="R305" s="2417"/>
      <c r="S305" s="2417"/>
      <c r="T305" s="2417"/>
      <c r="U305" s="2417"/>
      <c r="V305" s="2417"/>
      <c r="W305" s="2417"/>
      <c r="X305" s="2417"/>
      <c r="Y305" s="2417"/>
      <c r="Z305" s="2417"/>
      <c r="AA305" s="2417"/>
      <c r="AB305" s="2417"/>
      <c r="AC305" s="2417"/>
      <c r="AD305" s="2418"/>
      <c r="AE305" s="550"/>
      <c r="AF305" s="550"/>
      <c r="AG305" s="550"/>
      <c r="AH305" s="550"/>
      <c r="AI305" s="550"/>
      <c r="AJ305" s="549"/>
      <c r="AK305" s="549"/>
      <c r="AL305" s="549"/>
      <c r="AM305" s="549"/>
      <c r="AP305" s="610"/>
      <c r="AQ305" s="573"/>
      <c r="AR305" s="647"/>
    </row>
    <row r="306" spans="1:44" ht="15" customHeight="1">
      <c r="A306" s="549"/>
      <c r="B306" s="550"/>
      <c r="C306" s="549"/>
      <c r="D306" s="550"/>
      <c r="E306" s="549"/>
      <c r="F306" s="2413"/>
      <c r="G306" s="2414"/>
      <c r="H306" s="2414"/>
      <c r="I306" s="2414"/>
      <c r="J306" s="2414"/>
      <c r="K306" s="2414"/>
      <c r="L306" s="2414"/>
      <c r="M306" s="2414"/>
      <c r="N306" s="2414"/>
      <c r="O306" s="2414"/>
      <c r="P306" s="2414"/>
      <c r="Q306" s="2414"/>
      <c r="R306" s="2414"/>
      <c r="S306" s="2414"/>
      <c r="T306" s="2414"/>
      <c r="U306" s="2414"/>
      <c r="V306" s="2414"/>
      <c r="W306" s="2414"/>
      <c r="X306" s="2414"/>
      <c r="Y306" s="2414"/>
      <c r="Z306" s="2414"/>
      <c r="AA306" s="2414"/>
      <c r="AB306" s="2414"/>
      <c r="AC306" s="2414"/>
      <c r="AD306" s="2415"/>
      <c r="AE306" s="550"/>
      <c r="AF306" s="550"/>
      <c r="AG306" s="550"/>
      <c r="AH306" s="550"/>
      <c r="AI306" s="550"/>
      <c r="AJ306" s="549"/>
      <c r="AK306" s="549"/>
      <c r="AL306" s="549"/>
      <c r="AM306" s="549"/>
      <c r="AP306" s="610"/>
      <c r="AQ306" s="573"/>
      <c r="AR306" s="647"/>
    </row>
    <row r="307" spans="1:44">
      <c r="A307" s="549"/>
      <c r="B307" s="550"/>
      <c r="C307" s="550"/>
      <c r="D307" s="550"/>
      <c r="E307" s="550"/>
      <c r="F307" s="550"/>
      <c r="G307" s="550"/>
      <c r="H307" s="550"/>
      <c r="I307" s="550"/>
      <c r="J307" s="550"/>
      <c r="K307" s="550"/>
      <c r="L307" s="550"/>
      <c r="M307" s="550"/>
      <c r="N307" s="550"/>
      <c r="O307" s="550"/>
      <c r="P307" s="550"/>
      <c r="Q307" s="550"/>
      <c r="R307" s="550"/>
      <c r="S307" s="550"/>
      <c r="T307" s="550"/>
      <c r="U307" s="550"/>
      <c r="V307" s="550"/>
      <c r="W307" s="550"/>
      <c r="X307" s="550"/>
      <c r="Y307" s="550"/>
      <c r="Z307" s="550"/>
      <c r="AA307" s="550"/>
      <c r="AB307" s="550"/>
      <c r="AC307" s="550"/>
      <c r="AD307" s="550"/>
      <c r="AE307" s="550"/>
      <c r="AF307" s="550"/>
      <c r="AG307" s="550"/>
      <c r="AH307" s="550"/>
      <c r="AI307" s="550"/>
      <c r="AJ307" s="549"/>
      <c r="AK307" s="549"/>
      <c r="AL307" s="549"/>
      <c r="AM307" s="549"/>
      <c r="AP307" s="610"/>
      <c r="AQ307" s="573"/>
      <c r="AR307" s="647"/>
    </row>
    <row r="308" spans="1:44" hidden="1">
      <c r="A308" s="549"/>
      <c r="B308" s="550"/>
      <c r="C308" s="550"/>
      <c r="D308" s="550"/>
      <c r="E308" s="550"/>
      <c r="F308" s="550"/>
      <c r="G308" s="550"/>
      <c r="H308" s="550"/>
      <c r="I308" s="550"/>
      <c r="J308" s="550"/>
      <c r="K308" s="550"/>
      <c r="L308" s="550"/>
      <c r="M308" s="550"/>
      <c r="N308" s="550"/>
      <c r="O308" s="550"/>
      <c r="P308" s="550"/>
      <c r="Q308" s="550"/>
      <c r="R308" s="550"/>
      <c r="S308" s="550"/>
      <c r="T308" s="550"/>
      <c r="U308" s="550"/>
      <c r="V308" s="550"/>
      <c r="W308" s="550"/>
      <c r="X308" s="550"/>
      <c r="Y308" s="550"/>
      <c r="Z308" s="550"/>
      <c r="AA308" s="550"/>
      <c r="AB308" s="550"/>
      <c r="AC308" s="550"/>
      <c r="AD308" s="550"/>
      <c r="AE308" s="550"/>
      <c r="AF308" s="550"/>
      <c r="AG308" s="550"/>
      <c r="AH308" s="550"/>
      <c r="AI308" s="550"/>
      <c r="AJ308" s="549"/>
      <c r="AK308" s="549"/>
      <c r="AL308" s="549"/>
      <c r="AM308" s="549"/>
      <c r="AP308" s="610"/>
      <c r="AQ308" s="573"/>
      <c r="AR308" s="647"/>
    </row>
    <row r="309" spans="1:44" hidden="1">
      <c r="A309" s="549"/>
      <c r="B309" s="550"/>
      <c r="C309" s="550"/>
      <c r="D309" s="550"/>
      <c r="E309" s="550"/>
      <c r="F309" s="550"/>
      <c r="G309" s="550"/>
      <c r="H309" s="550"/>
      <c r="I309" s="550"/>
      <c r="J309" s="550"/>
      <c r="K309" s="550"/>
      <c r="L309" s="550"/>
      <c r="M309" s="550"/>
      <c r="N309" s="550"/>
      <c r="O309" s="550"/>
      <c r="P309" s="550"/>
      <c r="Q309" s="550"/>
      <c r="R309" s="550"/>
      <c r="S309" s="550"/>
      <c r="T309" s="550"/>
      <c r="U309" s="550"/>
      <c r="V309" s="550"/>
      <c r="W309" s="550"/>
      <c r="X309" s="550"/>
      <c r="Y309" s="550"/>
      <c r="Z309" s="550"/>
      <c r="AA309" s="550"/>
      <c r="AB309" s="550"/>
      <c r="AC309" s="550"/>
      <c r="AD309" s="550"/>
      <c r="AE309" s="550"/>
      <c r="AF309" s="550"/>
      <c r="AG309" s="550"/>
      <c r="AH309" s="550"/>
      <c r="AI309" s="550"/>
      <c r="AJ309" s="549"/>
      <c r="AK309" s="549"/>
      <c r="AL309" s="549"/>
      <c r="AM309" s="549"/>
      <c r="AN309" s="73"/>
      <c r="AO309" s="14"/>
    </row>
    <row r="310" spans="1:44" hidden="1">
      <c r="A310" s="1645" t="s">
        <v>1390</v>
      </c>
      <c r="B310" s="1645"/>
      <c r="C310" s="2486" t="s">
        <v>592</v>
      </c>
      <c r="D310" s="2486"/>
      <c r="E310" s="546"/>
      <c r="F310" s="643" t="s">
        <v>1388</v>
      </c>
      <c r="G310" s="648"/>
      <c r="H310" s="648"/>
      <c r="I310" s="648"/>
      <c r="J310" s="648"/>
      <c r="K310" s="648"/>
      <c r="L310" s="648"/>
      <c r="M310" s="648"/>
      <c r="N310" s="648"/>
      <c r="O310" s="648"/>
      <c r="P310" s="648"/>
      <c r="Q310" s="648"/>
      <c r="R310" s="648"/>
      <c r="S310" s="648"/>
      <c r="T310" s="648"/>
      <c r="U310" s="648"/>
      <c r="V310" s="648"/>
      <c r="W310" s="648"/>
      <c r="X310" s="648"/>
      <c r="Y310" s="648"/>
      <c r="Z310" s="648"/>
      <c r="AA310" s="648"/>
      <c r="AB310" s="648"/>
      <c r="AC310" s="648"/>
      <c r="AD310" s="649"/>
      <c r="AE310" s="550"/>
      <c r="AF310" s="550"/>
      <c r="AG310" s="538" t="s">
        <v>1389</v>
      </c>
      <c r="AH310" s="550"/>
      <c r="AI310" s="550"/>
      <c r="AJ310" s="549"/>
      <c r="AK310" s="549"/>
      <c r="AL310" s="549"/>
      <c r="AM310" s="549"/>
      <c r="AN310" s="73"/>
      <c r="AO310" s="14"/>
    </row>
    <row r="311" spans="1:44" hidden="1">
      <c r="A311" s="89"/>
      <c r="B311" s="89"/>
      <c r="C311" s="729"/>
      <c r="D311" s="729"/>
      <c r="E311" s="546"/>
      <c r="F311" s="2508" t="s">
        <v>2028</v>
      </c>
      <c r="G311" s="2509"/>
      <c r="H311" s="2509"/>
      <c r="I311" s="2509"/>
      <c r="J311" s="2509"/>
      <c r="K311" s="2509"/>
      <c r="L311" s="2509"/>
      <c r="M311" s="2509"/>
      <c r="N311" s="2509"/>
      <c r="O311" s="2509"/>
      <c r="P311" s="2509"/>
      <c r="Q311" s="2509"/>
      <c r="R311" s="2509"/>
      <c r="S311" s="2509"/>
      <c r="T311" s="2509"/>
      <c r="U311" s="2509"/>
      <c r="V311" s="2509"/>
      <c r="W311" s="2509"/>
      <c r="X311" s="2509"/>
      <c r="Y311" s="2509"/>
      <c r="Z311" s="2509"/>
      <c r="AA311" s="2509"/>
      <c r="AB311" s="2509"/>
      <c r="AC311" s="2509"/>
      <c r="AD311" s="2510"/>
      <c r="AE311" s="550"/>
      <c r="AF311" s="550"/>
      <c r="AG311" s="538"/>
      <c r="AH311" s="550"/>
      <c r="AI311" s="550"/>
      <c r="AJ311" s="549"/>
      <c r="AK311" s="549"/>
      <c r="AL311" s="549"/>
      <c r="AM311" s="549"/>
      <c r="AN311" s="73"/>
      <c r="AO311" s="14"/>
      <c r="AP311" s="556" t="s">
        <v>1185</v>
      </c>
    </row>
    <row r="312" spans="1:44" hidden="1">
      <c r="F312" s="2508"/>
      <c r="G312" s="2509"/>
      <c r="H312" s="2509"/>
      <c r="I312" s="2509"/>
      <c r="J312" s="2509"/>
      <c r="K312" s="2509"/>
      <c r="L312" s="2509"/>
      <c r="M312" s="2509"/>
      <c r="N312" s="2509"/>
      <c r="O312" s="2509"/>
      <c r="P312" s="2509"/>
      <c r="Q312" s="2509"/>
      <c r="R312" s="2509"/>
      <c r="S312" s="2509"/>
      <c r="T312" s="2509"/>
      <c r="U312" s="2509"/>
      <c r="V312" s="2509"/>
      <c r="W312" s="2509"/>
      <c r="X312" s="2509"/>
      <c r="Y312" s="2509"/>
      <c r="Z312" s="2509"/>
      <c r="AA312" s="2509"/>
      <c r="AB312" s="2509"/>
      <c r="AC312" s="2509"/>
      <c r="AD312" s="2510"/>
      <c r="AE312" s="550"/>
      <c r="AF312" s="550"/>
      <c r="AH312" s="550"/>
      <c r="AI312" s="550"/>
      <c r="AJ312" s="549"/>
      <c r="AK312" s="549"/>
      <c r="AL312" s="549"/>
      <c r="AM312" s="549"/>
      <c r="AN312" s="73"/>
      <c r="AO312" s="14"/>
      <c r="AP312" s="556" t="s">
        <v>1731</v>
      </c>
    </row>
    <row r="313" spans="1:44" hidden="1">
      <c r="A313" s="549"/>
      <c r="B313" s="550"/>
      <c r="C313" s="729"/>
      <c r="D313" s="729"/>
      <c r="E313" s="546"/>
      <c r="F313" s="651" t="s">
        <v>1391</v>
      </c>
      <c r="G313" s="662"/>
      <c r="H313" s="662"/>
      <c r="I313" s="662"/>
      <c r="J313" s="662"/>
      <c r="K313" s="662"/>
      <c r="L313" s="662"/>
      <c r="M313" s="662"/>
      <c r="N313" s="662"/>
      <c r="O313" s="662"/>
      <c r="P313" s="662"/>
      <c r="Q313" s="662"/>
      <c r="R313" s="662"/>
      <c r="S313" s="662"/>
      <c r="T313" s="662"/>
      <c r="U313" s="662"/>
      <c r="V313" s="662"/>
      <c r="W313" s="662"/>
      <c r="X313" s="662"/>
      <c r="Y313" s="662"/>
      <c r="Z313" s="662"/>
      <c r="AA313" s="662"/>
      <c r="AB313" s="662"/>
      <c r="AC313" s="662"/>
      <c r="AD313" s="1019"/>
      <c r="AE313" s="550"/>
      <c r="AF313" s="550"/>
      <c r="AG313" s="538"/>
      <c r="AH313" s="550"/>
      <c r="AI313" s="550"/>
      <c r="AJ313" s="549"/>
      <c r="AK313" s="549"/>
      <c r="AL313" s="549"/>
      <c r="AM313" s="549"/>
      <c r="AN313" s="73"/>
      <c r="AO313" s="14"/>
      <c r="AP313" s="556" t="s">
        <v>1733</v>
      </c>
    </row>
    <row r="314" spans="1:44" hidden="1">
      <c r="A314" s="549"/>
      <c r="B314" s="550"/>
      <c r="C314" s="729"/>
      <c r="D314" s="729"/>
      <c r="E314" s="546"/>
      <c r="F314" s="651"/>
      <c r="G314" s="662"/>
      <c r="H314" s="662"/>
      <c r="I314" s="662"/>
      <c r="J314" s="662"/>
      <c r="K314" s="662"/>
      <c r="L314" s="662"/>
      <c r="M314" s="662"/>
      <c r="N314" s="662"/>
      <c r="O314" s="662"/>
      <c r="P314" s="662"/>
      <c r="Q314" s="662"/>
      <c r="R314" s="662"/>
      <c r="S314" s="662"/>
      <c r="T314" s="662"/>
      <c r="U314" s="662"/>
      <c r="V314" s="662"/>
      <c r="W314" s="662"/>
      <c r="X314" s="662"/>
      <c r="Y314" s="662"/>
      <c r="Z314" s="662"/>
      <c r="AA314" s="662"/>
      <c r="AB314" s="662"/>
      <c r="AC314" s="662"/>
      <c r="AD314" s="1019"/>
      <c r="AE314" s="550"/>
      <c r="AF314" s="550"/>
      <c r="AG314" s="538"/>
      <c r="AH314" s="550"/>
      <c r="AI314" s="550"/>
      <c r="AJ314" s="549"/>
      <c r="AK314" s="549"/>
      <c r="AL314" s="549"/>
      <c r="AM314" s="549"/>
      <c r="AN314" s="73"/>
      <c r="AO314" s="14"/>
      <c r="AP314" s="556" t="s">
        <v>1857</v>
      </c>
    </row>
    <row r="315" spans="1:44" ht="12.75" hidden="1" customHeight="1">
      <c r="A315" s="549"/>
      <c r="B315" s="550"/>
      <c r="C315" s="729"/>
      <c r="D315" s="729"/>
      <c r="E315" s="546"/>
      <c r="F315" s="651"/>
      <c r="G315" s="641"/>
      <c r="H315" s="641"/>
      <c r="I315" s="641"/>
      <c r="J315" s="641"/>
      <c r="K315" s="641"/>
      <c r="L315" s="641"/>
      <c r="M315" s="641"/>
      <c r="N315" s="641"/>
      <c r="O315" s="641"/>
      <c r="P315" s="641"/>
      <c r="Q315" s="641"/>
      <c r="R315" s="641"/>
      <c r="S315" s="641"/>
      <c r="T315" s="641"/>
      <c r="U315" s="641"/>
      <c r="V315" s="641"/>
      <c r="W315" s="641"/>
      <c r="X315" s="641"/>
      <c r="Y315" s="641"/>
      <c r="Z315" s="641"/>
      <c r="AA315" s="641"/>
      <c r="AB315" s="641"/>
      <c r="AC315" s="641"/>
      <c r="AD315" s="652"/>
      <c r="AE315" s="550"/>
      <c r="AF315" s="550"/>
      <c r="AG315" s="538"/>
      <c r="AH315" s="550"/>
      <c r="AI315" s="550"/>
      <c r="AJ315" s="549"/>
      <c r="AK315" s="549"/>
      <c r="AL315" s="549"/>
      <c r="AM315" s="549"/>
      <c r="AN315" s="73"/>
      <c r="AO315" s="14"/>
      <c r="AP315" s="30"/>
    </row>
    <row r="316" spans="1:44" ht="12.75" hidden="1" customHeight="1">
      <c r="A316" s="549"/>
      <c r="B316" s="550"/>
      <c r="C316" s="729"/>
      <c r="D316" s="729"/>
      <c r="E316" s="546"/>
      <c r="F316" s="2518" t="s">
        <v>1185</v>
      </c>
      <c r="G316" s="2519"/>
      <c r="H316" s="2519"/>
      <c r="I316" s="2519"/>
      <c r="J316" s="2519"/>
      <c r="K316" s="2519"/>
      <c r="L316" s="2519"/>
      <c r="M316" s="2519"/>
      <c r="N316" s="2519"/>
      <c r="O316" s="2519"/>
      <c r="P316" s="2519"/>
      <c r="Q316" s="2519"/>
      <c r="R316" s="2519"/>
      <c r="S316" s="2519"/>
      <c r="T316" s="2519"/>
      <c r="U316" s="2519"/>
      <c r="V316" s="2519"/>
      <c r="W316" s="2519"/>
      <c r="X316" s="2519"/>
      <c r="Y316" s="2519"/>
      <c r="Z316" s="2519"/>
      <c r="AA316" s="2519"/>
      <c r="AB316" s="2519"/>
      <c r="AC316" s="2519"/>
      <c r="AD316" s="2520"/>
      <c r="AE316" s="641"/>
      <c r="AF316" s="641"/>
      <c r="AG316" s="641"/>
      <c r="AH316" s="641"/>
      <c r="AI316" s="641"/>
      <c r="AJ316" s="641"/>
      <c r="AK316" s="641"/>
      <c r="AL316" s="549"/>
      <c r="AM316" s="549"/>
      <c r="AN316" s="73"/>
      <c r="AO316" s="14"/>
      <c r="AP316" s="30"/>
    </row>
    <row r="317" spans="1:44" hidden="1">
      <c r="A317" s="549"/>
      <c r="B317" s="550"/>
      <c r="C317" s="729"/>
      <c r="D317" s="729"/>
      <c r="E317" s="546"/>
      <c r="F317" s="2518"/>
      <c r="G317" s="2519"/>
      <c r="H317" s="2519"/>
      <c r="I317" s="2519"/>
      <c r="J317" s="2519"/>
      <c r="K317" s="2519"/>
      <c r="L317" s="2519"/>
      <c r="M317" s="2519"/>
      <c r="N317" s="2519"/>
      <c r="O317" s="2519"/>
      <c r="P317" s="2519"/>
      <c r="Q317" s="2519"/>
      <c r="R317" s="2519"/>
      <c r="S317" s="2519"/>
      <c r="T317" s="2519"/>
      <c r="U317" s="2519"/>
      <c r="V317" s="2519"/>
      <c r="W317" s="2519"/>
      <c r="X317" s="2519"/>
      <c r="Y317" s="2519"/>
      <c r="Z317" s="2519"/>
      <c r="AA317" s="2519"/>
      <c r="AB317" s="2519"/>
      <c r="AC317" s="2519"/>
      <c r="AD317" s="2520"/>
      <c r="AE317" s="550"/>
      <c r="AF317" s="550"/>
      <c r="AG317" s="538"/>
      <c r="AH317" s="550"/>
      <c r="AI317" s="550"/>
      <c r="AJ317" s="549"/>
      <c r="AK317" s="549"/>
      <c r="AL317" s="549"/>
      <c r="AM317" s="549"/>
      <c r="AN317" s="73"/>
      <c r="AO317" s="14"/>
      <c r="AP317" s="30"/>
    </row>
    <row r="318" spans="1:44" hidden="1">
      <c r="A318" s="549"/>
      <c r="B318" s="550"/>
      <c r="C318" s="729"/>
      <c r="D318" s="729"/>
      <c r="E318" s="546"/>
      <c r="F318" s="2518"/>
      <c r="G318" s="2519"/>
      <c r="H318" s="2519"/>
      <c r="I318" s="2519"/>
      <c r="J318" s="2519"/>
      <c r="K318" s="2519"/>
      <c r="L318" s="2519"/>
      <c r="M318" s="2519"/>
      <c r="N318" s="2519"/>
      <c r="O318" s="2519"/>
      <c r="P318" s="2519"/>
      <c r="Q318" s="2519"/>
      <c r="R318" s="2519"/>
      <c r="S318" s="2519"/>
      <c r="T318" s="2519"/>
      <c r="U318" s="2519"/>
      <c r="V318" s="2519"/>
      <c r="W318" s="2519"/>
      <c r="X318" s="2519"/>
      <c r="Y318" s="2519"/>
      <c r="Z318" s="2519"/>
      <c r="AA318" s="2519"/>
      <c r="AB318" s="2519"/>
      <c r="AC318" s="2519"/>
      <c r="AD318" s="2520"/>
      <c r="AE318" s="550"/>
      <c r="AF318" s="550"/>
      <c r="AG318" s="538"/>
      <c r="AH318" s="550"/>
      <c r="AI318" s="550"/>
      <c r="AJ318" s="549"/>
      <c r="AK318" s="549"/>
      <c r="AL318" s="549"/>
      <c r="AM318" s="549"/>
      <c r="AN318" s="73"/>
      <c r="AO318" s="14"/>
      <c r="AP318" s="30"/>
    </row>
    <row r="319" spans="1:44" hidden="1">
      <c r="A319" s="549"/>
      <c r="B319" s="550"/>
      <c r="C319" s="729"/>
      <c r="D319" s="729"/>
      <c r="E319" s="546"/>
      <c r="F319" s="2518"/>
      <c r="G319" s="2519"/>
      <c r="H319" s="2519"/>
      <c r="I319" s="2519"/>
      <c r="J319" s="2519"/>
      <c r="K319" s="2519"/>
      <c r="L319" s="2519"/>
      <c r="M319" s="2519"/>
      <c r="N319" s="2519"/>
      <c r="O319" s="2519"/>
      <c r="P319" s="2519"/>
      <c r="Q319" s="2519"/>
      <c r="R319" s="2519"/>
      <c r="S319" s="2519"/>
      <c r="T319" s="2519"/>
      <c r="U319" s="2519"/>
      <c r="V319" s="2519"/>
      <c r="W319" s="2519"/>
      <c r="X319" s="2519"/>
      <c r="Y319" s="2519"/>
      <c r="Z319" s="2519"/>
      <c r="AA319" s="2519"/>
      <c r="AB319" s="2519"/>
      <c r="AC319" s="2519"/>
      <c r="AD319" s="2520"/>
      <c r="AE319" s="550"/>
      <c r="AF319" s="550"/>
      <c r="AG319" s="538"/>
      <c r="AH319" s="550"/>
      <c r="AI319" s="550"/>
      <c r="AJ319" s="549"/>
      <c r="AK319" s="549"/>
      <c r="AL319" s="549"/>
      <c r="AM319" s="549"/>
      <c r="AN319" s="73"/>
      <c r="AO319" s="14"/>
      <c r="AP319" s="30"/>
    </row>
    <row r="320" spans="1:44" hidden="1">
      <c r="A320" s="549"/>
      <c r="B320" s="550"/>
      <c r="C320" s="729"/>
      <c r="D320" s="729"/>
      <c r="E320" s="546"/>
      <c r="F320" s="2521"/>
      <c r="G320" s="2522"/>
      <c r="H320" s="2522"/>
      <c r="I320" s="2522"/>
      <c r="J320" s="2522"/>
      <c r="K320" s="2522"/>
      <c r="L320" s="2522"/>
      <c r="M320" s="2522"/>
      <c r="N320" s="2522"/>
      <c r="O320" s="2522"/>
      <c r="P320" s="2522"/>
      <c r="Q320" s="2522"/>
      <c r="R320" s="2522"/>
      <c r="S320" s="2522"/>
      <c r="T320" s="2522"/>
      <c r="U320" s="2522"/>
      <c r="V320" s="2522"/>
      <c r="W320" s="2522"/>
      <c r="X320" s="2522"/>
      <c r="Y320" s="2522"/>
      <c r="Z320" s="2522"/>
      <c r="AA320" s="2522"/>
      <c r="AB320" s="2522"/>
      <c r="AC320" s="2522"/>
      <c r="AD320" s="2523"/>
      <c r="AE320" s="550"/>
      <c r="AF320" s="550"/>
      <c r="AG320" s="538"/>
      <c r="AH320" s="550"/>
      <c r="AI320" s="550"/>
      <c r="AJ320" s="549"/>
      <c r="AK320" s="549"/>
      <c r="AL320" s="549"/>
      <c r="AM320" s="549"/>
      <c r="AN320" s="73"/>
      <c r="AO320" s="14"/>
      <c r="AP320" s="30"/>
    </row>
    <row r="321" spans="1:42" hidden="1">
      <c r="A321" s="549"/>
      <c r="B321" s="550"/>
      <c r="C321" s="729"/>
      <c r="D321" s="729"/>
      <c r="E321" s="546"/>
      <c r="F321" s="974"/>
      <c r="G321" s="641"/>
      <c r="H321" s="641"/>
      <c r="I321" s="641"/>
      <c r="J321" s="641"/>
      <c r="K321" s="641"/>
      <c r="L321" s="641"/>
      <c r="M321" s="641"/>
      <c r="N321" s="641"/>
      <c r="O321" s="641"/>
      <c r="P321" s="641"/>
      <c r="Q321" s="641"/>
      <c r="R321" s="641"/>
      <c r="S321" s="641"/>
      <c r="T321" s="641"/>
      <c r="U321" s="641"/>
      <c r="V321" s="641"/>
      <c r="W321" s="641"/>
      <c r="X321" s="641"/>
      <c r="Y321" s="641"/>
      <c r="Z321" s="641"/>
      <c r="AA321" s="641"/>
      <c r="AB321" s="641"/>
      <c r="AC321" s="641"/>
      <c r="AD321" s="652"/>
      <c r="AE321" s="550"/>
      <c r="AF321" s="550"/>
      <c r="AG321" s="538"/>
      <c r="AH321" s="550"/>
      <c r="AI321" s="550"/>
      <c r="AJ321" s="549"/>
      <c r="AK321" s="549"/>
      <c r="AL321" s="549"/>
      <c r="AM321" s="549"/>
      <c r="AN321" s="73"/>
      <c r="AO321" s="14"/>
      <c r="AP321" s="30"/>
    </row>
    <row r="322" spans="1:42" hidden="1">
      <c r="A322" s="549"/>
      <c r="B322" s="550"/>
      <c r="C322" s="729"/>
      <c r="D322" s="729"/>
      <c r="E322" s="546"/>
      <c r="F322" s="653" t="s">
        <v>1732</v>
      </c>
      <c r="G322" s="550"/>
      <c r="H322" s="550"/>
      <c r="I322" s="550"/>
      <c r="J322" s="550"/>
      <c r="K322" s="550"/>
      <c r="L322" s="550"/>
      <c r="M322" s="550"/>
      <c r="N322" s="550"/>
      <c r="O322" s="550"/>
      <c r="P322" s="550"/>
      <c r="Q322" s="550"/>
      <c r="R322" s="550"/>
      <c r="S322" s="550"/>
      <c r="T322" s="550"/>
      <c r="U322" s="550"/>
      <c r="V322" s="550"/>
      <c r="W322" s="550"/>
      <c r="X322" s="550"/>
      <c r="Y322" s="550"/>
      <c r="Z322" s="550"/>
      <c r="AA322" s="550"/>
      <c r="AB322" s="550"/>
      <c r="AC322" s="550"/>
      <c r="AD322" s="654"/>
      <c r="AE322" s="550"/>
      <c r="AF322" s="550"/>
      <c r="AG322" s="538"/>
      <c r="AH322" s="550"/>
      <c r="AI322" s="550"/>
      <c r="AJ322" s="549"/>
      <c r="AK322" s="549"/>
      <c r="AL322" s="549"/>
      <c r="AM322" s="549"/>
      <c r="AN322" s="73"/>
      <c r="AO322" s="14"/>
      <c r="AP322" s="30"/>
    </row>
    <row r="323" spans="1:42" hidden="1">
      <c r="A323" s="549"/>
      <c r="B323" s="550"/>
      <c r="C323" s="729"/>
      <c r="D323" s="729"/>
      <c r="E323" s="546"/>
      <c r="F323" s="653"/>
      <c r="G323" s="550"/>
      <c r="H323" s="550"/>
      <c r="I323" s="550"/>
      <c r="J323" s="550"/>
      <c r="K323" s="550"/>
      <c r="L323" s="550"/>
      <c r="M323" s="550"/>
      <c r="N323" s="550"/>
      <c r="O323" s="550"/>
      <c r="P323" s="550"/>
      <c r="Q323" s="550"/>
      <c r="R323" s="550"/>
      <c r="S323" s="550"/>
      <c r="T323" s="550"/>
      <c r="U323" s="550"/>
      <c r="V323" s="550"/>
      <c r="W323" s="550"/>
      <c r="X323" s="550"/>
      <c r="Y323" s="550"/>
      <c r="Z323" s="550"/>
      <c r="AA323" s="550"/>
      <c r="AB323" s="550"/>
      <c r="AC323" s="550"/>
      <c r="AD323" s="654"/>
      <c r="AE323" s="550"/>
      <c r="AF323" s="550"/>
      <c r="AG323" s="538"/>
      <c r="AH323" s="550"/>
      <c r="AI323" s="550"/>
      <c r="AJ323" s="549"/>
      <c r="AK323" s="549"/>
      <c r="AL323" s="549"/>
      <c r="AM323" s="549"/>
      <c r="AN323" s="73"/>
      <c r="AO323" s="14"/>
      <c r="AP323" s="556" t="s">
        <v>1185</v>
      </c>
    </row>
    <row r="324" spans="1:42" ht="12.75" hidden="1" customHeight="1">
      <c r="A324" s="549"/>
      <c r="B324" s="550"/>
      <c r="C324" s="729"/>
      <c r="D324" s="729"/>
      <c r="E324" s="546"/>
      <c r="F324" s="655"/>
      <c r="G324" s="574" t="s">
        <v>688</v>
      </c>
      <c r="H324" s="574"/>
      <c r="I324" s="2524" t="s">
        <v>1185</v>
      </c>
      <c r="J324" s="2524"/>
      <c r="K324" s="2524"/>
      <c r="L324" s="2524"/>
      <c r="M324" s="2524"/>
      <c r="N324" s="2524"/>
      <c r="O324" s="2524"/>
      <c r="P324" s="2524"/>
      <c r="Q324" s="2524"/>
      <c r="R324" s="2524"/>
      <c r="S324" s="2524"/>
      <c r="T324" s="2524"/>
      <c r="U324" s="2524"/>
      <c r="V324" s="2524"/>
      <c r="W324" s="2524"/>
      <c r="X324" s="2524"/>
      <c r="Y324" s="2524"/>
      <c r="Z324" s="2524"/>
      <c r="AA324" s="2524"/>
      <c r="AB324" s="2524"/>
      <c r="AC324" s="2524"/>
      <c r="AD324" s="2525"/>
      <c r="AE324" s="550"/>
      <c r="AF324" s="550"/>
      <c r="AG324" s="538"/>
      <c r="AH324" s="550"/>
      <c r="AI324" s="550"/>
      <c r="AJ324" s="549"/>
      <c r="AK324" s="549"/>
      <c r="AL324" s="549"/>
      <c r="AM324" s="549"/>
      <c r="AN324" s="73"/>
      <c r="AO324" s="14"/>
      <c r="AP324" s="556" t="s">
        <v>1638</v>
      </c>
    </row>
    <row r="325" spans="1:42" hidden="1">
      <c r="A325" s="549"/>
      <c r="B325" s="550"/>
      <c r="C325" s="729"/>
      <c r="D325" s="729"/>
      <c r="E325" s="546"/>
      <c r="F325" s="655"/>
      <c r="G325" s="574"/>
      <c r="H325" s="574"/>
      <c r="I325" s="2524"/>
      <c r="J325" s="2524"/>
      <c r="K325" s="2524"/>
      <c r="L325" s="2524"/>
      <c r="M325" s="2524"/>
      <c r="N325" s="2524"/>
      <c r="O325" s="2524"/>
      <c r="P325" s="2524"/>
      <c r="Q325" s="2524"/>
      <c r="R325" s="2524"/>
      <c r="S325" s="2524"/>
      <c r="T325" s="2524"/>
      <c r="U325" s="2524"/>
      <c r="V325" s="2524"/>
      <c r="W325" s="2524"/>
      <c r="X325" s="2524"/>
      <c r="Y325" s="2524"/>
      <c r="Z325" s="2524"/>
      <c r="AA325" s="2524"/>
      <c r="AB325" s="2524"/>
      <c r="AC325" s="2524"/>
      <c r="AD325" s="2525"/>
      <c r="AE325" s="550"/>
      <c r="AF325" s="550"/>
      <c r="AG325" s="538"/>
      <c r="AH325" s="550"/>
      <c r="AI325" s="550"/>
      <c r="AJ325" s="549"/>
      <c r="AK325" s="549"/>
      <c r="AL325" s="549"/>
      <c r="AM325" s="549"/>
      <c r="AN325" s="73"/>
      <c r="AO325" s="14"/>
      <c r="AP325" s="556" t="s">
        <v>1734</v>
      </c>
    </row>
    <row r="326" spans="1:42" hidden="1">
      <c r="A326" s="549"/>
      <c r="B326" s="550"/>
      <c r="C326" s="650"/>
      <c r="D326" s="650"/>
      <c r="E326" s="546"/>
      <c r="F326" s="655"/>
      <c r="G326" s="574"/>
      <c r="H326" s="574"/>
      <c r="I326" s="2524"/>
      <c r="J326" s="2524"/>
      <c r="K326" s="2524"/>
      <c r="L326" s="2524"/>
      <c r="M326" s="2524"/>
      <c r="N326" s="2524"/>
      <c r="O326" s="2524"/>
      <c r="P326" s="2524"/>
      <c r="Q326" s="2524"/>
      <c r="R326" s="2524"/>
      <c r="S326" s="2524"/>
      <c r="T326" s="2524"/>
      <c r="U326" s="2524"/>
      <c r="V326" s="2524"/>
      <c r="W326" s="2524"/>
      <c r="X326" s="2524"/>
      <c r="Y326" s="2524"/>
      <c r="Z326" s="2524"/>
      <c r="AA326" s="2524"/>
      <c r="AB326" s="2524"/>
      <c r="AC326" s="2524"/>
      <c r="AD326" s="2525"/>
      <c r="AE326" s="550"/>
      <c r="AF326" s="550"/>
      <c r="AG326" s="538"/>
      <c r="AH326" s="550"/>
      <c r="AI326" s="550"/>
      <c r="AJ326" s="549"/>
      <c r="AK326" s="549"/>
      <c r="AL326" s="549"/>
      <c r="AM326" s="549"/>
      <c r="AN326" s="73"/>
      <c r="AO326" s="14"/>
      <c r="AP326" s="556" t="s">
        <v>1736</v>
      </c>
    </row>
    <row r="327" spans="1:42" hidden="1">
      <c r="A327" s="549"/>
      <c r="B327" s="550"/>
      <c r="C327" s="650"/>
      <c r="D327" s="650"/>
      <c r="E327" s="546"/>
      <c r="F327" s="653"/>
      <c r="G327" s="550"/>
      <c r="H327" s="550"/>
      <c r="I327" s="2526"/>
      <c r="J327" s="2526"/>
      <c r="K327" s="2526"/>
      <c r="L327" s="2526"/>
      <c r="M327" s="2526"/>
      <c r="N327" s="2526"/>
      <c r="O327" s="2526"/>
      <c r="P327" s="2526"/>
      <c r="Q327" s="2526"/>
      <c r="R327" s="2526"/>
      <c r="S327" s="2526"/>
      <c r="T327" s="2526"/>
      <c r="U327" s="2526"/>
      <c r="V327" s="2526"/>
      <c r="W327" s="2526"/>
      <c r="X327" s="2526"/>
      <c r="Y327" s="2526"/>
      <c r="Z327" s="2526"/>
      <c r="AA327" s="2526"/>
      <c r="AB327" s="2526"/>
      <c r="AC327" s="2526"/>
      <c r="AD327" s="2527"/>
      <c r="AE327" s="550"/>
      <c r="AF327" s="550"/>
      <c r="AG327" s="538"/>
      <c r="AH327" s="550"/>
      <c r="AI327" s="550"/>
      <c r="AJ327" s="549"/>
      <c r="AK327" s="549"/>
      <c r="AL327" s="549"/>
      <c r="AM327" s="549"/>
      <c r="AN327" s="73"/>
      <c r="AO327" s="14"/>
      <c r="AP327" s="556" t="s">
        <v>1735</v>
      </c>
    </row>
    <row r="328" spans="1:42" hidden="1">
      <c r="A328" s="549"/>
      <c r="B328" s="550"/>
      <c r="C328" s="650"/>
      <c r="D328" s="650"/>
      <c r="E328" s="546"/>
      <c r="F328" s="653"/>
      <c r="G328" s="550"/>
      <c r="H328" s="550"/>
      <c r="I328" s="550"/>
      <c r="J328" s="550"/>
      <c r="K328" s="550"/>
      <c r="L328" s="550"/>
      <c r="M328" s="550"/>
      <c r="N328" s="550"/>
      <c r="O328" s="550"/>
      <c r="P328" s="550"/>
      <c r="Q328" s="550"/>
      <c r="R328" s="550"/>
      <c r="S328" s="550"/>
      <c r="T328" s="550"/>
      <c r="U328" s="550"/>
      <c r="V328" s="550"/>
      <c r="W328" s="550"/>
      <c r="X328" s="550"/>
      <c r="Y328" s="550"/>
      <c r="Z328" s="550"/>
      <c r="AA328" s="550"/>
      <c r="AB328" s="550"/>
      <c r="AC328" s="550"/>
      <c r="AD328" s="654"/>
      <c r="AE328" s="550"/>
      <c r="AF328" s="550"/>
      <c r="AG328" s="538"/>
      <c r="AH328" s="550"/>
      <c r="AI328" s="550"/>
      <c r="AJ328" s="549"/>
      <c r="AK328" s="549"/>
      <c r="AL328" s="549"/>
      <c r="AM328" s="549"/>
      <c r="AN328" s="73"/>
      <c r="AO328" s="14"/>
      <c r="AP328" s="30"/>
    </row>
    <row r="329" spans="1:42" hidden="1">
      <c r="A329" s="549"/>
      <c r="B329" s="550"/>
      <c r="C329" s="650"/>
      <c r="D329" s="650"/>
      <c r="E329" s="546"/>
      <c r="F329" s="653"/>
      <c r="G329" s="550" t="s">
        <v>510</v>
      </c>
      <c r="H329" s="550"/>
      <c r="I329" s="2524" t="s">
        <v>1185</v>
      </c>
      <c r="J329" s="2524"/>
      <c r="K329" s="2524"/>
      <c r="L329" s="2524"/>
      <c r="M329" s="2524"/>
      <c r="N329" s="2524"/>
      <c r="O329" s="2524"/>
      <c r="P329" s="2524"/>
      <c r="Q329" s="2524"/>
      <c r="R329" s="2524"/>
      <c r="S329" s="2524"/>
      <c r="T329" s="2524"/>
      <c r="U329" s="2524"/>
      <c r="V329" s="2524"/>
      <c r="W329" s="2524"/>
      <c r="X329" s="2524"/>
      <c r="Y329" s="2524"/>
      <c r="Z329" s="2524"/>
      <c r="AA329" s="2524"/>
      <c r="AB329" s="2524"/>
      <c r="AC329" s="2524"/>
      <c r="AD329" s="2525"/>
      <c r="AE329" s="550"/>
      <c r="AF329" s="550"/>
      <c r="AG329" s="538"/>
      <c r="AH329" s="550"/>
      <c r="AI329" s="550"/>
      <c r="AJ329" s="549"/>
      <c r="AK329" s="549"/>
      <c r="AL329" s="549"/>
      <c r="AM329" s="549"/>
      <c r="AN329" s="73"/>
      <c r="AO329" s="14"/>
    </row>
    <row r="330" spans="1:42" hidden="1">
      <c r="A330" s="549"/>
      <c r="B330" s="550"/>
      <c r="C330" s="650"/>
      <c r="D330" s="650"/>
      <c r="E330" s="546"/>
      <c r="F330" s="653"/>
      <c r="G330" s="550"/>
      <c r="H330" s="550"/>
      <c r="I330" s="2524"/>
      <c r="J330" s="2524"/>
      <c r="K330" s="2524"/>
      <c r="L330" s="2524"/>
      <c r="M330" s="2524"/>
      <c r="N330" s="2524"/>
      <c r="O330" s="2524"/>
      <c r="P330" s="2524"/>
      <c r="Q330" s="2524"/>
      <c r="R330" s="2524"/>
      <c r="S330" s="2524"/>
      <c r="T330" s="2524"/>
      <c r="U330" s="2524"/>
      <c r="V330" s="2524"/>
      <c r="W330" s="2524"/>
      <c r="X330" s="2524"/>
      <c r="Y330" s="2524"/>
      <c r="Z330" s="2524"/>
      <c r="AA330" s="2524"/>
      <c r="AB330" s="2524"/>
      <c r="AC330" s="2524"/>
      <c r="AD330" s="2525"/>
      <c r="AE330" s="550"/>
      <c r="AF330" s="550"/>
      <c r="AG330" s="538"/>
      <c r="AH330" s="550"/>
      <c r="AI330" s="550"/>
      <c r="AJ330" s="549"/>
      <c r="AK330" s="549"/>
      <c r="AL330" s="549"/>
      <c r="AM330" s="549"/>
      <c r="AN330" s="73"/>
      <c r="AO330" s="14"/>
      <c r="AP330" s="556" t="s">
        <v>1185</v>
      </c>
    </row>
    <row r="331" spans="1:42" hidden="1">
      <c r="A331" s="549"/>
      <c r="B331" s="550"/>
      <c r="C331" s="650"/>
      <c r="D331" s="650"/>
      <c r="E331" s="546"/>
      <c r="F331" s="656"/>
      <c r="G331" s="657"/>
      <c r="H331" s="657"/>
      <c r="I331" s="2526"/>
      <c r="J331" s="2526"/>
      <c r="K331" s="2526"/>
      <c r="L331" s="2526"/>
      <c r="M331" s="2526"/>
      <c r="N331" s="2526"/>
      <c r="O331" s="2526"/>
      <c r="P331" s="2526"/>
      <c r="Q331" s="2526"/>
      <c r="R331" s="2526"/>
      <c r="S331" s="2526"/>
      <c r="T331" s="2526"/>
      <c r="U331" s="2526"/>
      <c r="V331" s="2526"/>
      <c r="W331" s="2526"/>
      <c r="X331" s="2526"/>
      <c r="Y331" s="2526"/>
      <c r="Z331" s="2526"/>
      <c r="AA331" s="2526"/>
      <c r="AB331" s="2526"/>
      <c r="AC331" s="2526"/>
      <c r="AD331" s="2527"/>
      <c r="AE331" s="550"/>
      <c r="AF331" s="550"/>
      <c r="AG331" s="538"/>
      <c r="AH331" s="550"/>
      <c r="AI331" s="550"/>
      <c r="AJ331" s="549"/>
      <c r="AK331" s="549"/>
      <c r="AL331" s="549"/>
      <c r="AM331" s="549"/>
      <c r="AN331" s="73"/>
      <c r="AO331" s="14"/>
      <c r="AP331" s="556" t="s">
        <v>1392</v>
      </c>
    </row>
    <row r="332" spans="1:42" hidden="1">
      <c r="A332" s="549"/>
      <c r="B332" s="550"/>
      <c r="C332" s="549"/>
      <c r="D332" s="550"/>
      <c r="E332" s="549"/>
      <c r="F332" s="615"/>
      <c r="G332" s="550"/>
      <c r="H332" s="550"/>
      <c r="I332" s="550"/>
      <c r="J332" s="550"/>
      <c r="K332" s="550"/>
      <c r="L332" s="550"/>
      <c r="M332" s="550"/>
      <c r="N332" s="550"/>
      <c r="O332" s="550"/>
      <c r="P332" s="550"/>
      <c r="Q332" s="550"/>
      <c r="R332" s="550"/>
      <c r="S332" s="550"/>
      <c r="T332" s="550"/>
      <c r="U332" s="550"/>
      <c r="V332" s="550"/>
      <c r="W332" s="550"/>
      <c r="X332" s="550"/>
      <c r="Y332" s="550"/>
      <c r="Z332" s="550"/>
      <c r="AA332" s="550"/>
      <c r="AB332" s="550"/>
      <c r="AC332" s="550"/>
      <c r="AD332" s="550"/>
      <c r="AE332" s="550"/>
      <c r="AF332" s="550"/>
      <c r="AG332" s="550"/>
      <c r="AH332" s="550"/>
      <c r="AI332" s="550"/>
      <c r="AJ332" s="549"/>
      <c r="AK332" s="549"/>
      <c r="AL332" s="549"/>
      <c r="AM332" s="549"/>
      <c r="AN332" s="73"/>
      <c r="AO332" s="14"/>
      <c r="AP332" s="556" t="s">
        <v>1639</v>
      </c>
    </row>
    <row r="333" spans="1:42" ht="12.75" hidden="1" customHeight="1">
      <c r="A333" s="1645" t="s">
        <v>1393</v>
      </c>
      <c r="B333" s="1645"/>
      <c r="C333" s="2486" t="s">
        <v>592</v>
      </c>
      <c r="D333" s="2486"/>
      <c r="E333" s="546"/>
      <c r="F333" s="2410" t="s">
        <v>2029</v>
      </c>
      <c r="G333" s="2411"/>
      <c r="H333" s="2411"/>
      <c r="I333" s="2411"/>
      <c r="J333" s="2411"/>
      <c r="K333" s="2411"/>
      <c r="L333" s="2411"/>
      <c r="M333" s="2411"/>
      <c r="N333" s="2411"/>
      <c r="O333" s="2411"/>
      <c r="P333" s="2411"/>
      <c r="Q333" s="2411"/>
      <c r="R333" s="2411"/>
      <c r="S333" s="2411"/>
      <c r="T333" s="2411"/>
      <c r="U333" s="2411"/>
      <c r="V333" s="2411"/>
      <c r="W333" s="2411"/>
      <c r="X333" s="2411"/>
      <c r="Y333" s="2411"/>
      <c r="Z333" s="2411"/>
      <c r="AA333" s="2411"/>
      <c r="AB333" s="2411"/>
      <c r="AC333" s="2411"/>
      <c r="AD333" s="2412"/>
      <c r="AE333" s="550"/>
      <c r="AF333" s="550"/>
      <c r="AG333" s="538" t="s">
        <v>1389</v>
      </c>
      <c r="AH333" s="550"/>
      <c r="AI333" s="550"/>
      <c r="AJ333" s="549"/>
      <c r="AK333" s="549"/>
      <c r="AL333" s="549"/>
      <c r="AM333" s="549"/>
      <c r="AN333" s="73"/>
      <c r="AO333" s="14"/>
    </row>
    <row r="334" spans="1:42" ht="15" hidden="1" customHeight="1">
      <c r="A334" s="549"/>
      <c r="B334" s="550"/>
      <c r="C334" s="550"/>
      <c r="D334" s="550"/>
      <c r="E334" s="550"/>
      <c r="F334" s="2416"/>
      <c r="G334" s="2417"/>
      <c r="H334" s="2417"/>
      <c r="I334" s="2417"/>
      <c r="J334" s="2417"/>
      <c r="K334" s="2417"/>
      <c r="L334" s="2417"/>
      <c r="M334" s="2417"/>
      <c r="N334" s="2417"/>
      <c r="O334" s="2417"/>
      <c r="P334" s="2417"/>
      <c r="Q334" s="2417"/>
      <c r="R334" s="2417"/>
      <c r="S334" s="2417"/>
      <c r="T334" s="2417"/>
      <c r="U334" s="2417"/>
      <c r="V334" s="2417"/>
      <c r="W334" s="2417"/>
      <c r="X334" s="2417"/>
      <c r="Y334" s="2417"/>
      <c r="Z334" s="2417"/>
      <c r="AA334" s="2417"/>
      <c r="AB334" s="2417"/>
      <c r="AC334" s="2417"/>
      <c r="AD334" s="2418"/>
      <c r="AE334" s="550"/>
      <c r="AF334" s="550"/>
      <c r="AG334" s="550"/>
      <c r="AH334" s="550"/>
      <c r="AI334" s="550"/>
      <c r="AJ334" s="549"/>
      <c r="AK334" s="549"/>
      <c r="AL334" s="549"/>
      <c r="AM334" s="549"/>
      <c r="AN334" s="73"/>
      <c r="AO334" s="14"/>
    </row>
    <row r="335" spans="1:42" ht="15" hidden="1" customHeight="1">
      <c r="A335" s="549"/>
      <c r="B335" s="550"/>
      <c r="C335" s="550"/>
      <c r="D335" s="550"/>
      <c r="E335" s="550"/>
      <c r="F335" s="2416"/>
      <c r="G335" s="2417"/>
      <c r="H335" s="2417"/>
      <c r="I335" s="2417"/>
      <c r="J335" s="2417"/>
      <c r="K335" s="2417"/>
      <c r="L335" s="2417"/>
      <c r="M335" s="2417"/>
      <c r="N335" s="2417"/>
      <c r="O335" s="2417"/>
      <c r="P335" s="2417"/>
      <c r="Q335" s="2417"/>
      <c r="R335" s="2417"/>
      <c r="S335" s="2417"/>
      <c r="T335" s="2417"/>
      <c r="U335" s="2417"/>
      <c r="V335" s="2417"/>
      <c r="W335" s="2417"/>
      <c r="X335" s="2417"/>
      <c r="Y335" s="2417"/>
      <c r="Z335" s="2417"/>
      <c r="AA335" s="2417"/>
      <c r="AB335" s="2417"/>
      <c r="AC335" s="2417"/>
      <c r="AD335" s="2418"/>
      <c r="AE335" s="550"/>
      <c r="AF335" s="550"/>
      <c r="AG335" s="550"/>
      <c r="AH335" s="550"/>
      <c r="AI335" s="550"/>
      <c r="AJ335" s="549"/>
      <c r="AK335" s="549"/>
      <c r="AL335" s="549"/>
      <c r="AM335" s="658"/>
      <c r="AN335" s="14"/>
      <c r="AO335" s="14"/>
    </row>
    <row r="336" spans="1:42" hidden="1">
      <c r="A336" s="549"/>
      <c r="B336" s="550"/>
      <c r="C336" s="549"/>
      <c r="D336" s="550"/>
      <c r="E336" s="549"/>
      <c r="F336" s="659" t="s">
        <v>1394</v>
      </c>
      <c r="G336" s="660"/>
      <c r="H336" s="660"/>
      <c r="I336" s="660"/>
      <c r="J336" s="660"/>
      <c r="K336" s="660"/>
      <c r="L336" s="660"/>
      <c r="M336" s="660"/>
      <c r="N336" s="660"/>
      <c r="O336" s="660"/>
      <c r="P336" s="660"/>
      <c r="Q336" s="660"/>
      <c r="R336" s="660"/>
      <c r="S336" s="660"/>
      <c r="T336" s="660"/>
      <c r="U336" s="660"/>
      <c r="V336" s="660"/>
      <c r="W336" s="660"/>
      <c r="X336" s="660"/>
      <c r="Y336" s="660"/>
      <c r="Z336" s="660"/>
      <c r="AA336" s="660"/>
      <c r="AB336" s="660"/>
      <c r="AC336" s="660"/>
      <c r="AD336" s="661"/>
      <c r="AE336" s="550"/>
      <c r="AF336" s="550"/>
      <c r="AG336" s="550"/>
      <c r="AH336" s="550"/>
      <c r="AI336" s="550"/>
      <c r="AJ336" s="549"/>
      <c r="AK336" s="549"/>
      <c r="AL336" s="549"/>
      <c r="AM336" s="658"/>
      <c r="AN336" s="30"/>
    </row>
    <row r="337" spans="1:44" hidden="1">
      <c r="A337" s="549"/>
      <c r="B337" s="550"/>
      <c r="C337" s="549"/>
      <c r="D337" s="550"/>
      <c r="E337" s="549"/>
      <c r="F337" s="662"/>
      <c r="G337" s="662"/>
      <c r="H337" s="662"/>
      <c r="I337" s="662"/>
      <c r="J337" s="662"/>
      <c r="K337" s="662"/>
      <c r="L337" s="662"/>
      <c r="M337" s="662"/>
      <c r="N337" s="662"/>
      <c r="O337" s="662"/>
      <c r="P337" s="662"/>
      <c r="Q337" s="662"/>
      <c r="R337" s="662"/>
      <c r="S337" s="662"/>
      <c r="T337" s="662"/>
      <c r="U337" s="662"/>
      <c r="V337" s="662"/>
      <c r="W337" s="662"/>
      <c r="X337" s="662"/>
      <c r="Y337" s="662"/>
      <c r="Z337" s="662"/>
      <c r="AA337" s="662"/>
      <c r="AB337" s="662"/>
      <c r="AC337" s="662"/>
      <c r="AD337" s="662"/>
      <c r="AE337" s="550"/>
      <c r="AF337" s="550"/>
      <c r="AG337" s="550"/>
      <c r="AH337" s="550"/>
      <c r="AI337" s="550"/>
      <c r="AJ337" s="549"/>
      <c r="AK337" s="549"/>
      <c r="AL337" s="549"/>
      <c r="AM337" s="658"/>
      <c r="AN337" s="30"/>
    </row>
    <row r="338" spans="1:44">
      <c r="A338" s="605"/>
      <c r="B338" s="663"/>
      <c r="C338" s="663"/>
      <c r="D338" s="663"/>
      <c r="E338" s="663"/>
      <c r="F338" s="663"/>
      <c r="G338" s="663"/>
      <c r="H338" s="663"/>
      <c r="I338" s="663"/>
      <c r="J338" s="663"/>
      <c r="K338" s="663"/>
      <c r="L338" s="663"/>
      <c r="M338" s="663"/>
      <c r="N338" s="663"/>
      <c r="O338" s="663"/>
      <c r="P338" s="663"/>
      <c r="Q338" s="663"/>
      <c r="R338" s="663"/>
      <c r="S338" s="663"/>
      <c r="T338" s="663"/>
      <c r="U338" s="663"/>
      <c r="V338" s="663"/>
      <c r="W338" s="663"/>
      <c r="X338" s="663"/>
      <c r="Y338" s="663"/>
      <c r="Z338" s="663"/>
      <c r="AA338" s="663"/>
      <c r="AB338" s="663"/>
      <c r="AC338" s="664"/>
      <c r="AD338" s="663"/>
      <c r="AE338" s="563"/>
      <c r="AF338" s="563"/>
      <c r="AG338" s="563"/>
      <c r="AH338" s="563"/>
      <c r="AI338" s="564"/>
      <c r="AJ338" s="564" t="s">
        <v>1453</v>
      </c>
      <c r="AK338" s="2489">
        <f>IF(NOT(OR(Application!M355="Yes",Application!M356="Yes")),0,AP295)</f>
        <v>9</v>
      </c>
      <c r="AL338" s="2490"/>
      <c r="AM338" s="2491"/>
      <c r="AN338" s="30"/>
    </row>
    <row r="339" spans="1:44" s="549" customFormat="1" ht="12.75" customHeight="1" thickBot="1">
      <c r="A339" s="620"/>
      <c r="B339" s="620"/>
      <c r="C339" s="620"/>
      <c r="D339" s="620"/>
      <c r="E339" s="620"/>
      <c r="F339" s="620"/>
      <c r="G339" s="620"/>
      <c r="H339" s="620"/>
      <c r="I339" s="620"/>
      <c r="J339" s="620"/>
      <c r="K339" s="620"/>
      <c r="L339" s="620"/>
      <c r="M339" s="620"/>
      <c r="N339" s="620"/>
      <c r="O339" s="620"/>
      <c r="P339" s="620"/>
      <c r="Q339" s="620"/>
      <c r="R339" s="620"/>
      <c r="S339" s="620"/>
      <c r="T339" s="620"/>
      <c r="U339" s="620"/>
      <c r="V339" s="620"/>
      <c r="W339" s="620"/>
      <c r="X339" s="620"/>
      <c r="Y339" s="620"/>
      <c r="Z339" s="620"/>
      <c r="AA339" s="620"/>
      <c r="AB339" s="620"/>
      <c r="AC339" s="620"/>
      <c r="AD339" s="620"/>
      <c r="AE339" s="620"/>
      <c r="AF339" s="620"/>
      <c r="AG339" s="620"/>
      <c r="AH339" s="620"/>
      <c r="AI339" s="620"/>
      <c r="AJ339" s="620"/>
      <c r="AK339" s="620"/>
      <c r="AL339" s="620"/>
      <c r="AM339" s="620"/>
      <c r="AN339" s="596"/>
    </row>
    <row r="340" spans="1:44" s="549"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6"/>
    </row>
    <row r="341" spans="1:44" s="549" customFormat="1" ht="12.75" customHeight="1">
      <c r="A341" s="538" t="s">
        <v>1454</v>
      </c>
      <c r="B341" s="538" t="s">
        <v>846</v>
      </c>
      <c r="C341" s="535"/>
      <c r="AC341" s="538"/>
      <c r="AE341" s="2419" t="s">
        <v>1315</v>
      </c>
      <c r="AF341" s="2419"/>
      <c r="AG341" s="2419"/>
      <c r="AH341" s="2419"/>
      <c r="AI341" s="2419"/>
      <c r="AJ341" s="2419"/>
      <c r="AK341" s="2419"/>
      <c r="AL341" s="538"/>
      <c r="AM341" s="538"/>
      <c r="AN341" s="591"/>
    </row>
    <row r="342" spans="1:44" s="549" customFormat="1" ht="12.75" customHeight="1">
      <c r="A342" s="538"/>
      <c r="B342" s="538"/>
      <c r="C342" s="535"/>
      <c r="AC342" s="538"/>
      <c r="AE342" s="542"/>
      <c r="AF342" s="542"/>
      <c r="AG342" s="542"/>
      <c r="AH342" s="542"/>
      <c r="AI342" s="542"/>
      <c r="AJ342" s="542"/>
      <c r="AK342" s="542"/>
      <c r="AL342" s="538"/>
      <c r="AM342" s="538"/>
      <c r="AN342" s="591"/>
    </row>
    <row r="343" spans="1:44" s="549" customFormat="1" ht="12.75" customHeight="1">
      <c r="A343" s="602"/>
      <c r="B343" s="610"/>
      <c r="C343" s="2528" t="s">
        <v>1455</v>
      </c>
      <c r="D343" s="2528"/>
      <c r="E343" s="2528"/>
      <c r="F343" s="2528"/>
      <c r="G343" s="2528"/>
      <c r="H343" s="2528"/>
      <c r="I343" s="2528"/>
      <c r="J343" s="2528"/>
      <c r="K343" s="2528"/>
      <c r="L343" s="2528"/>
      <c r="M343" s="2528"/>
      <c r="N343" s="2528"/>
      <c r="O343" s="2528"/>
      <c r="P343" s="2528"/>
      <c r="Q343" s="2528"/>
      <c r="R343" s="2528"/>
      <c r="S343" s="2528"/>
      <c r="T343" s="2528"/>
      <c r="U343" s="2528"/>
      <c r="V343" s="2528"/>
      <c r="W343" s="2528"/>
      <c r="X343" s="2528"/>
      <c r="Y343" s="2528"/>
      <c r="Z343" s="2528"/>
      <c r="AA343" s="2528"/>
      <c r="AB343" s="2528"/>
      <c r="AC343" s="2528"/>
      <c r="AD343" s="2528"/>
      <c r="AE343" s="2528"/>
      <c r="AF343" s="2528"/>
      <c r="AG343" s="2528"/>
      <c r="AH343" s="2528"/>
      <c r="AI343" s="2528"/>
      <c r="AJ343" s="2528"/>
      <c r="AK343" s="602"/>
      <c r="AL343" s="602"/>
      <c r="AM343" s="602"/>
      <c r="AN343" s="596"/>
    </row>
    <row r="344" spans="1:44" s="549" customFormat="1" ht="12.75" customHeight="1">
      <c r="A344" s="602"/>
      <c r="B344" s="610"/>
      <c r="C344" s="2528"/>
      <c r="D344" s="2528"/>
      <c r="E344" s="2528"/>
      <c r="F344" s="2528"/>
      <c r="G344" s="2528"/>
      <c r="H344" s="2528"/>
      <c r="I344" s="2528"/>
      <c r="J344" s="2528"/>
      <c r="K344" s="2528"/>
      <c r="L344" s="2528"/>
      <c r="M344" s="2528"/>
      <c r="N344" s="2528"/>
      <c r="O344" s="2528"/>
      <c r="P344" s="2528"/>
      <c r="Q344" s="2528"/>
      <c r="R344" s="2528"/>
      <c r="S344" s="2528"/>
      <c r="T344" s="2528"/>
      <c r="U344" s="2528"/>
      <c r="V344" s="2528"/>
      <c r="W344" s="2528"/>
      <c r="X344" s="2528"/>
      <c r="Y344" s="2528"/>
      <c r="Z344" s="2528"/>
      <c r="AA344" s="2528"/>
      <c r="AB344" s="2528"/>
      <c r="AC344" s="2528"/>
      <c r="AD344" s="2528"/>
      <c r="AE344" s="2528"/>
      <c r="AF344" s="2528"/>
      <c r="AG344" s="2528"/>
      <c r="AH344" s="2528"/>
      <c r="AI344" s="2528"/>
      <c r="AJ344" s="2528"/>
      <c r="AK344" s="602"/>
      <c r="AL344" s="602"/>
      <c r="AM344" s="602"/>
      <c r="AN344" s="596"/>
    </row>
    <row r="345" spans="1:44" s="549" customFormat="1" ht="12.75" customHeight="1">
      <c r="A345" s="602"/>
      <c r="B345" s="610"/>
      <c r="C345" s="2528"/>
      <c r="D345" s="2528"/>
      <c r="E345" s="2528"/>
      <c r="F345" s="2528"/>
      <c r="G345" s="2528"/>
      <c r="H345" s="2528"/>
      <c r="I345" s="2528"/>
      <c r="J345" s="2528"/>
      <c r="K345" s="2528"/>
      <c r="L345" s="2528"/>
      <c r="M345" s="2528"/>
      <c r="N345" s="2528"/>
      <c r="O345" s="2528"/>
      <c r="P345" s="2528"/>
      <c r="Q345" s="2528"/>
      <c r="R345" s="2528"/>
      <c r="S345" s="2528"/>
      <c r="T345" s="2528"/>
      <c r="U345" s="2528"/>
      <c r="V345" s="2528"/>
      <c r="W345" s="2528"/>
      <c r="X345" s="2528"/>
      <c r="Y345" s="2528"/>
      <c r="Z345" s="2528"/>
      <c r="AA345" s="2528"/>
      <c r="AB345" s="2528"/>
      <c r="AC345" s="2528"/>
      <c r="AD345" s="2528"/>
      <c r="AE345" s="2528"/>
      <c r="AF345" s="2528"/>
      <c r="AG345" s="2528"/>
      <c r="AH345" s="2528"/>
      <c r="AI345" s="2528"/>
      <c r="AJ345" s="2528"/>
      <c r="AK345" s="602"/>
      <c r="AL345" s="602"/>
      <c r="AM345" s="602"/>
      <c r="AN345" s="596"/>
      <c r="AQ345" s="569"/>
    </row>
    <row r="346" spans="1:44" s="549" customFormat="1" ht="12.75" customHeight="1">
      <c r="A346" s="602"/>
      <c r="B346" s="610"/>
      <c r="C346" s="2528"/>
      <c r="D346" s="2528"/>
      <c r="E346" s="2528"/>
      <c r="F346" s="2528"/>
      <c r="G346" s="2528"/>
      <c r="H346" s="2528"/>
      <c r="I346" s="2528"/>
      <c r="J346" s="2528"/>
      <c r="K346" s="2528"/>
      <c r="L346" s="2528"/>
      <c r="M346" s="2528"/>
      <c r="N346" s="2528"/>
      <c r="O346" s="2528"/>
      <c r="P346" s="2528"/>
      <c r="Q346" s="2528"/>
      <c r="R346" s="2528"/>
      <c r="S346" s="2528"/>
      <c r="T346" s="2528"/>
      <c r="U346" s="2528"/>
      <c r="V346" s="2528"/>
      <c r="W346" s="2528"/>
      <c r="X346" s="2528"/>
      <c r="Y346" s="2528"/>
      <c r="Z346" s="2528"/>
      <c r="AA346" s="2528"/>
      <c r="AB346" s="2528"/>
      <c r="AC346" s="2528"/>
      <c r="AD346" s="2528"/>
      <c r="AE346" s="2528"/>
      <c r="AF346" s="2528"/>
      <c r="AG346" s="2528"/>
      <c r="AH346" s="2528"/>
      <c r="AI346" s="2528"/>
      <c r="AJ346" s="2528"/>
      <c r="AK346" s="602"/>
      <c r="AL346" s="602"/>
      <c r="AM346" s="602"/>
      <c r="AN346" s="596"/>
      <c r="AQ346" s="569"/>
    </row>
    <row r="347" spans="1:44" s="549" customFormat="1" ht="12.6" customHeight="1">
      <c r="A347" s="602"/>
      <c r="B347" s="610"/>
      <c r="C347" s="2528"/>
      <c r="D347" s="2528"/>
      <c r="E347" s="2528"/>
      <c r="F347" s="2528"/>
      <c r="G347" s="2528"/>
      <c r="H347" s="2528"/>
      <c r="I347" s="2528"/>
      <c r="J347" s="2528"/>
      <c r="K347" s="2528"/>
      <c r="L347" s="2528"/>
      <c r="M347" s="2528"/>
      <c r="N347" s="2528"/>
      <c r="O347" s="2528"/>
      <c r="P347" s="2528"/>
      <c r="Q347" s="2528"/>
      <c r="R347" s="2528"/>
      <c r="S347" s="2528"/>
      <c r="T347" s="2528"/>
      <c r="U347" s="2528"/>
      <c r="V347" s="2528"/>
      <c r="W347" s="2528"/>
      <c r="X347" s="2528"/>
      <c r="Y347" s="2528"/>
      <c r="Z347" s="2528"/>
      <c r="AA347" s="2528"/>
      <c r="AB347" s="2528"/>
      <c r="AC347" s="2528"/>
      <c r="AD347" s="2528"/>
      <c r="AE347" s="2528"/>
      <c r="AF347" s="2528"/>
      <c r="AG347" s="2528"/>
      <c r="AH347" s="2528"/>
      <c r="AI347" s="2528"/>
      <c r="AJ347" s="2528"/>
      <c r="AK347" s="602"/>
      <c r="AL347" s="602"/>
      <c r="AM347" s="602"/>
      <c r="AN347" s="596"/>
      <c r="AQ347" s="569"/>
      <c r="AR347" s="569"/>
    </row>
    <row r="348" spans="1:44" s="549" customFormat="1" ht="45.75" customHeight="1">
      <c r="A348" s="602"/>
      <c r="B348" s="610"/>
      <c r="C348" s="2528" t="s">
        <v>2094</v>
      </c>
      <c r="D348" s="2528"/>
      <c r="E348" s="2528"/>
      <c r="F348" s="2528"/>
      <c r="G348" s="2528"/>
      <c r="H348" s="2528"/>
      <c r="I348" s="2528"/>
      <c r="J348" s="2528"/>
      <c r="K348" s="2528"/>
      <c r="L348" s="2528"/>
      <c r="M348" s="2528"/>
      <c r="N348" s="2528"/>
      <c r="O348" s="2528"/>
      <c r="P348" s="2528"/>
      <c r="Q348" s="2528"/>
      <c r="R348" s="2528"/>
      <c r="S348" s="2528"/>
      <c r="T348" s="2528"/>
      <c r="U348" s="2528"/>
      <c r="V348" s="2528"/>
      <c r="W348" s="2528"/>
      <c r="X348" s="2528"/>
      <c r="Y348" s="2528"/>
      <c r="Z348" s="2528"/>
      <c r="AA348" s="2528"/>
      <c r="AB348" s="2528"/>
      <c r="AC348" s="2528"/>
      <c r="AD348" s="2528"/>
      <c r="AE348" s="2528"/>
      <c r="AF348" s="2528"/>
      <c r="AG348" s="2528"/>
      <c r="AH348" s="2528"/>
      <c r="AI348" s="2528"/>
      <c r="AJ348" s="2528"/>
      <c r="AK348" s="602"/>
      <c r="AL348" s="602"/>
      <c r="AM348" s="602"/>
      <c r="AN348" s="596"/>
      <c r="AQ348" s="569"/>
      <c r="AR348" s="569"/>
    </row>
    <row r="349" spans="1:44" s="549" customFormat="1" ht="12.6" customHeight="1">
      <c r="A349" s="602"/>
      <c r="B349" s="610"/>
      <c r="C349" s="692"/>
      <c r="D349" s="692"/>
      <c r="E349" s="692"/>
      <c r="F349" s="692"/>
      <c r="G349" s="692"/>
      <c r="H349" s="692"/>
      <c r="I349" s="692"/>
      <c r="J349" s="692"/>
      <c r="K349" s="692"/>
      <c r="L349" s="692"/>
      <c r="M349" s="692"/>
      <c r="N349" s="692"/>
      <c r="O349" s="692"/>
      <c r="P349" s="692"/>
      <c r="Q349" s="692"/>
      <c r="R349" s="692"/>
      <c r="S349" s="692"/>
      <c r="T349" s="692"/>
      <c r="U349" s="692"/>
      <c r="V349" s="692"/>
      <c r="W349" s="692"/>
      <c r="X349" s="692"/>
      <c r="Y349" s="692"/>
      <c r="Z349" s="692"/>
      <c r="AA349" s="692"/>
      <c r="AB349" s="692"/>
      <c r="AC349" s="692"/>
      <c r="AD349" s="692"/>
      <c r="AE349" s="692"/>
      <c r="AF349" s="692"/>
      <c r="AG349" s="692"/>
      <c r="AH349" s="692"/>
      <c r="AI349" s="692"/>
      <c r="AJ349" s="692"/>
      <c r="AK349" s="602"/>
      <c r="AL349" s="602"/>
      <c r="AM349" s="602"/>
      <c r="AN349" s="596"/>
      <c r="AQ349" s="569"/>
      <c r="AR349" s="569"/>
    </row>
    <row r="350" spans="1:44" s="549" customFormat="1" ht="12.75" customHeight="1">
      <c r="A350" s="602"/>
      <c r="B350" s="610"/>
      <c r="C350" s="2528" t="s">
        <v>2209</v>
      </c>
      <c r="D350" s="2528"/>
      <c r="E350" s="2528"/>
      <c r="F350" s="2528"/>
      <c r="G350" s="2528"/>
      <c r="H350" s="2528"/>
      <c r="I350" s="2528"/>
      <c r="J350" s="2528"/>
      <c r="K350" s="2528"/>
      <c r="L350" s="2528"/>
      <c r="M350" s="2528"/>
      <c r="N350" s="2528"/>
      <c r="O350" s="2528"/>
      <c r="P350" s="2528"/>
      <c r="Q350" s="2528"/>
      <c r="R350" s="2528"/>
      <c r="S350" s="2528"/>
      <c r="T350" s="2528"/>
      <c r="U350" s="2528"/>
      <c r="V350" s="2528"/>
      <c r="W350" s="2528"/>
      <c r="X350" s="2528"/>
      <c r="Y350" s="2528"/>
      <c r="Z350" s="2528"/>
      <c r="AA350" s="2528"/>
      <c r="AB350" s="2528"/>
      <c r="AC350" s="2528"/>
      <c r="AD350" s="2528"/>
      <c r="AE350" s="2528"/>
      <c r="AF350" s="2528"/>
      <c r="AG350" s="2528"/>
      <c r="AH350" s="2528"/>
      <c r="AI350" s="2528"/>
      <c r="AJ350" s="2528"/>
      <c r="AK350" s="602"/>
      <c r="AL350" s="602"/>
      <c r="AM350" s="602"/>
      <c r="AN350" s="596"/>
      <c r="AQ350" s="569"/>
      <c r="AR350" s="569"/>
    </row>
    <row r="351" spans="1:44" s="549" customFormat="1" ht="30" customHeight="1">
      <c r="A351" s="602"/>
      <c r="B351" s="610"/>
      <c r="C351" s="2528"/>
      <c r="D351" s="2528"/>
      <c r="E351" s="2528"/>
      <c r="F351" s="2528"/>
      <c r="G351" s="2528"/>
      <c r="H351" s="2528"/>
      <c r="I351" s="2528"/>
      <c r="J351" s="2528"/>
      <c r="K351" s="2528"/>
      <c r="L351" s="2528"/>
      <c r="M351" s="2528"/>
      <c r="N351" s="2528"/>
      <c r="O351" s="2528"/>
      <c r="P351" s="2528"/>
      <c r="Q351" s="2528"/>
      <c r="R351" s="2528"/>
      <c r="S351" s="2528"/>
      <c r="T351" s="2528"/>
      <c r="U351" s="2528"/>
      <c r="V351" s="2528"/>
      <c r="W351" s="2528"/>
      <c r="X351" s="2528"/>
      <c r="Y351" s="2528"/>
      <c r="Z351" s="2528"/>
      <c r="AA351" s="2528"/>
      <c r="AB351" s="2528"/>
      <c r="AC351" s="2528"/>
      <c r="AD351" s="2528"/>
      <c r="AE351" s="2528"/>
      <c r="AF351" s="2528"/>
      <c r="AG351" s="2528"/>
      <c r="AH351" s="2528"/>
      <c r="AI351" s="2528"/>
      <c r="AJ351" s="2528"/>
      <c r="AK351" s="602"/>
      <c r="AL351" s="602"/>
      <c r="AM351" s="602"/>
      <c r="AN351" s="596"/>
      <c r="AR351" s="569"/>
    </row>
    <row r="352" spans="1:44" s="549" customFormat="1" ht="12.75" customHeight="1">
      <c r="A352" s="602"/>
      <c r="B352" s="610"/>
      <c r="C352" s="2528"/>
      <c r="D352" s="2528"/>
      <c r="E352" s="2528"/>
      <c r="F352" s="2528"/>
      <c r="G352" s="2528"/>
      <c r="H352" s="2528"/>
      <c r="I352" s="2528"/>
      <c r="J352" s="2528"/>
      <c r="K352" s="2528"/>
      <c r="L352" s="2528"/>
      <c r="M352" s="2528"/>
      <c r="N352" s="2528"/>
      <c r="O352" s="2528"/>
      <c r="P352" s="2528"/>
      <c r="Q352" s="2528"/>
      <c r="R352" s="2528"/>
      <c r="S352" s="2528"/>
      <c r="T352" s="2528"/>
      <c r="U352" s="2528"/>
      <c r="V352" s="2528"/>
      <c r="W352" s="2528"/>
      <c r="X352" s="2528"/>
      <c r="Y352" s="2528"/>
      <c r="Z352" s="2528"/>
      <c r="AA352" s="2528"/>
      <c r="AB352" s="2528"/>
      <c r="AC352" s="2528"/>
      <c r="AD352" s="2528"/>
      <c r="AE352" s="2528"/>
      <c r="AF352" s="2528"/>
      <c r="AG352" s="2528"/>
      <c r="AH352" s="2528"/>
      <c r="AI352" s="2528"/>
      <c r="AJ352" s="2528"/>
      <c r="AK352" s="602"/>
      <c r="AL352" s="602"/>
      <c r="AM352" s="602"/>
      <c r="AN352" s="596"/>
      <c r="AR352" s="569"/>
    </row>
    <row r="353" spans="1:46" s="549" customFormat="1" ht="12.75" customHeight="1">
      <c r="A353" s="602"/>
      <c r="B353" s="610"/>
      <c r="C353" s="2528" t="s">
        <v>1456</v>
      </c>
      <c r="D353" s="2528"/>
      <c r="E353" s="2528"/>
      <c r="F353" s="2528"/>
      <c r="G353" s="2528"/>
      <c r="H353" s="2528"/>
      <c r="I353" s="2528"/>
      <c r="J353" s="2528"/>
      <c r="K353" s="2528"/>
      <c r="L353" s="2528"/>
      <c r="M353" s="2528"/>
      <c r="N353" s="2528"/>
      <c r="O353" s="2528"/>
      <c r="P353" s="2528"/>
      <c r="Q353" s="2528"/>
      <c r="R353" s="2528"/>
      <c r="S353" s="2528"/>
      <c r="T353" s="2528"/>
      <c r="U353" s="2528"/>
      <c r="V353" s="2528"/>
      <c r="W353" s="2528"/>
      <c r="X353" s="2528"/>
      <c r="Y353" s="2528"/>
      <c r="Z353" s="2528"/>
      <c r="AA353" s="2528"/>
      <c r="AB353" s="2528"/>
      <c r="AC353" s="2528"/>
      <c r="AD353" s="2528"/>
      <c r="AE353" s="2528"/>
      <c r="AF353" s="2528"/>
      <c r="AG353" s="2528"/>
      <c r="AH353" s="2528"/>
      <c r="AI353" s="2528"/>
      <c r="AJ353" s="2528"/>
      <c r="AK353" s="602"/>
      <c r="AL353" s="602"/>
      <c r="AM353" s="602"/>
      <c r="AN353" s="596"/>
      <c r="AQ353" s="569"/>
      <c r="AR353" s="569"/>
    </row>
    <row r="354" spans="1:46" s="549" customFormat="1" ht="12.75" customHeight="1">
      <c r="A354" s="602"/>
      <c r="B354" s="610"/>
      <c r="C354" s="2528"/>
      <c r="D354" s="2528"/>
      <c r="E354" s="2528"/>
      <c r="F354" s="2528"/>
      <c r="G354" s="2528"/>
      <c r="H354" s="2528"/>
      <c r="I354" s="2528"/>
      <c r="J354" s="2528"/>
      <c r="K354" s="2528"/>
      <c r="L354" s="2528"/>
      <c r="M354" s="2528"/>
      <c r="N354" s="2528"/>
      <c r="O354" s="2528"/>
      <c r="P354" s="2528"/>
      <c r="Q354" s="2528"/>
      <c r="R354" s="2528"/>
      <c r="S354" s="2528"/>
      <c r="T354" s="2528"/>
      <c r="U354" s="2528"/>
      <c r="V354" s="2528"/>
      <c r="W354" s="2528"/>
      <c r="X354" s="2528"/>
      <c r="Y354" s="2528"/>
      <c r="Z354" s="2528"/>
      <c r="AA354" s="2528"/>
      <c r="AB354" s="2528"/>
      <c r="AC354" s="2528"/>
      <c r="AD354" s="2528"/>
      <c r="AE354" s="2528"/>
      <c r="AF354" s="2528"/>
      <c r="AG354" s="2528"/>
      <c r="AH354" s="2528"/>
      <c r="AI354" s="2528"/>
      <c r="AJ354" s="2528"/>
      <c r="AK354" s="602"/>
      <c r="AL354" s="602"/>
      <c r="AM354" s="602"/>
      <c r="AN354" s="596"/>
      <c r="AQ354" s="569"/>
      <c r="AR354" s="569"/>
    </row>
    <row r="355" spans="1:46" s="549" customFormat="1" ht="13.35" customHeight="1">
      <c r="A355" s="602"/>
      <c r="B355" s="610"/>
      <c r="C355" s="2528"/>
      <c r="D355" s="2528"/>
      <c r="E355" s="2528"/>
      <c r="F355" s="2528"/>
      <c r="G355" s="2528"/>
      <c r="H355" s="2528"/>
      <c r="I355" s="2528"/>
      <c r="J355" s="2528"/>
      <c r="K355" s="2528"/>
      <c r="L355" s="2528"/>
      <c r="M355" s="2528"/>
      <c r="N355" s="2528"/>
      <c r="O355" s="2528"/>
      <c r="P355" s="2528"/>
      <c r="Q355" s="2528"/>
      <c r="R355" s="2528"/>
      <c r="S355" s="2528"/>
      <c r="T355" s="2528"/>
      <c r="U355" s="2528"/>
      <c r="V355" s="2528"/>
      <c r="W355" s="2528"/>
      <c r="X355" s="2528"/>
      <c r="Y355" s="2528"/>
      <c r="Z355" s="2528"/>
      <c r="AA355" s="2528"/>
      <c r="AB355" s="2528"/>
      <c r="AC355" s="2528"/>
      <c r="AD355" s="2528"/>
      <c r="AE355" s="2528"/>
      <c r="AF355" s="2528"/>
      <c r="AG355" s="2528"/>
      <c r="AH355" s="2528"/>
      <c r="AI355" s="2528"/>
      <c r="AJ355" s="2528"/>
      <c r="AK355" s="602"/>
      <c r="AL355" s="602"/>
      <c r="AM355" s="602"/>
      <c r="AN355" s="596"/>
      <c r="AQ355" s="569"/>
      <c r="AR355" s="569"/>
    </row>
    <row r="356" spans="1:46" s="549" customFormat="1" ht="12.75" customHeight="1">
      <c r="A356" s="602"/>
      <c r="B356" s="610"/>
      <c r="C356" s="2528"/>
      <c r="D356" s="2528"/>
      <c r="E356" s="2528"/>
      <c r="F356" s="2528"/>
      <c r="G356" s="2528"/>
      <c r="H356" s="2528"/>
      <c r="I356" s="2528"/>
      <c r="J356" s="2528"/>
      <c r="K356" s="2528"/>
      <c r="L356" s="2528"/>
      <c r="M356" s="2528"/>
      <c r="N356" s="2528"/>
      <c r="O356" s="2528"/>
      <c r="P356" s="2528"/>
      <c r="Q356" s="2528"/>
      <c r="R356" s="2528"/>
      <c r="S356" s="2528"/>
      <c r="T356" s="2528"/>
      <c r="U356" s="2528"/>
      <c r="V356" s="2528"/>
      <c r="W356" s="2528"/>
      <c r="X356" s="2528"/>
      <c r="Y356" s="2528"/>
      <c r="Z356" s="2528"/>
      <c r="AA356" s="2528"/>
      <c r="AB356" s="2528"/>
      <c r="AC356" s="2528"/>
      <c r="AD356" s="2528"/>
      <c r="AE356" s="2528"/>
      <c r="AF356" s="2528"/>
      <c r="AG356" s="2528"/>
      <c r="AH356" s="2528"/>
      <c r="AI356" s="2528"/>
      <c r="AJ356" s="2528"/>
      <c r="AK356" s="602"/>
      <c r="AL356" s="602"/>
      <c r="AM356" s="602"/>
      <c r="AN356" s="596"/>
      <c r="AO356" s="693"/>
      <c r="AP356" s="693"/>
      <c r="AQ356" s="569"/>
    </row>
    <row r="357" spans="1:46" s="549" customFormat="1" ht="11.85" customHeight="1">
      <c r="A357" s="602"/>
      <c r="B357" s="610"/>
      <c r="C357" s="2528"/>
      <c r="D357" s="2528"/>
      <c r="E357" s="2528"/>
      <c r="F357" s="2528"/>
      <c r="G357" s="2528"/>
      <c r="H357" s="2528"/>
      <c r="I357" s="2528"/>
      <c r="J357" s="2528"/>
      <c r="K357" s="2528"/>
      <c r="L357" s="2528"/>
      <c r="M357" s="2528"/>
      <c r="N357" s="2528"/>
      <c r="O357" s="2528"/>
      <c r="P357" s="2528"/>
      <c r="Q357" s="2528"/>
      <c r="R357" s="2528"/>
      <c r="S357" s="2528"/>
      <c r="T357" s="2528"/>
      <c r="U357" s="2528"/>
      <c r="V357" s="2528"/>
      <c r="W357" s="2528"/>
      <c r="X357" s="2528"/>
      <c r="Y357" s="2528"/>
      <c r="Z357" s="2528"/>
      <c r="AA357" s="2528"/>
      <c r="AB357" s="2528"/>
      <c r="AC357" s="2528"/>
      <c r="AD357" s="2528"/>
      <c r="AE357" s="2528"/>
      <c r="AF357" s="2528"/>
      <c r="AG357" s="2528"/>
      <c r="AH357" s="2528"/>
      <c r="AI357" s="2528"/>
      <c r="AJ357" s="2528"/>
      <c r="AK357" s="602"/>
      <c r="AL357" s="602"/>
      <c r="AM357" s="602"/>
      <c r="AN357" s="596"/>
      <c r="AO357" s="694" t="s">
        <v>112</v>
      </c>
      <c r="AP357" s="695">
        <f>IF(C381="Yes",5,0)</f>
        <v>5</v>
      </c>
      <c r="AS357" s="538" t="s">
        <v>1457</v>
      </c>
    </row>
    <row r="358" spans="1:46" s="549" customFormat="1" ht="12.75" customHeight="1">
      <c r="A358" s="602"/>
      <c r="B358" s="610"/>
      <c r="C358" s="2528"/>
      <c r="D358" s="2528"/>
      <c r="E358" s="2528"/>
      <c r="F358" s="2528"/>
      <c r="G358" s="2528"/>
      <c r="H358" s="2528"/>
      <c r="I358" s="2528"/>
      <c r="J358" s="2528"/>
      <c r="K358" s="2528"/>
      <c r="L358" s="2528"/>
      <c r="M358" s="2528"/>
      <c r="N358" s="2528"/>
      <c r="O358" s="2528"/>
      <c r="P358" s="2528"/>
      <c r="Q358" s="2528"/>
      <c r="R358" s="2528"/>
      <c r="S358" s="2528"/>
      <c r="T358" s="2528"/>
      <c r="U358" s="2528"/>
      <c r="V358" s="2528"/>
      <c r="W358" s="2528"/>
      <c r="X358" s="2528"/>
      <c r="Y358" s="2528"/>
      <c r="Z358" s="2528"/>
      <c r="AA358" s="2528"/>
      <c r="AB358" s="2528"/>
      <c r="AC358" s="2528"/>
      <c r="AD358" s="2528"/>
      <c r="AE358" s="2528"/>
      <c r="AF358" s="2528"/>
      <c r="AG358" s="2528"/>
      <c r="AH358" s="2528"/>
      <c r="AI358" s="2528"/>
      <c r="AJ358" s="2528"/>
      <c r="AK358" s="602"/>
      <c r="AL358" s="602"/>
      <c r="AM358" s="602"/>
      <c r="AN358" s="596"/>
      <c r="AO358" s="694" t="s">
        <v>113</v>
      </c>
      <c r="AP358" s="695">
        <f>IF(C389="Yes",5,0)</f>
        <v>0</v>
      </c>
      <c r="AS358" s="2549">
        <f>IF(Application!D211="Non-Targeted",(SUM(AQ366+AQ375)),AS362)</f>
        <v>10</v>
      </c>
      <c r="AT358" s="2549"/>
    </row>
    <row r="359" spans="1:46" s="549" customFormat="1" ht="12.75" customHeight="1">
      <c r="A359" s="602"/>
      <c r="B359" s="610"/>
      <c r="C359" s="2528"/>
      <c r="D359" s="2528"/>
      <c r="E359" s="2528"/>
      <c r="F359" s="2528"/>
      <c r="G359" s="2528"/>
      <c r="H359" s="2528"/>
      <c r="I359" s="2528"/>
      <c r="J359" s="2528"/>
      <c r="K359" s="2528"/>
      <c r="L359" s="2528"/>
      <c r="M359" s="2528"/>
      <c r="N359" s="2528"/>
      <c r="O359" s="2528"/>
      <c r="P359" s="2528"/>
      <c r="Q359" s="2528"/>
      <c r="R359" s="2528"/>
      <c r="S359" s="2528"/>
      <c r="T359" s="2528"/>
      <c r="U359" s="2528"/>
      <c r="V359" s="2528"/>
      <c r="W359" s="2528"/>
      <c r="X359" s="2528"/>
      <c r="Y359" s="2528"/>
      <c r="Z359" s="2528"/>
      <c r="AA359" s="2528"/>
      <c r="AB359" s="2528"/>
      <c r="AC359" s="2528"/>
      <c r="AD359" s="2528"/>
      <c r="AE359" s="2528"/>
      <c r="AF359" s="2528"/>
      <c r="AG359" s="2528"/>
      <c r="AH359" s="2528"/>
      <c r="AI359" s="2528"/>
      <c r="AJ359" s="2528"/>
      <c r="AK359" s="602"/>
      <c r="AL359" s="602"/>
      <c r="AM359" s="602"/>
      <c r="AN359" s="596"/>
      <c r="AO359" s="694" t="s">
        <v>119</v>
      </c>
      <c r="AP359" s="695">
        <f>IF(C397="Yes",7,0)</f>
        <v>0</v>
      </c>
      <c r="AS359" s="538" t="s">
        <v>1458</v>
      </c>
    </row>
    <row r="360" spans="1:46" s="549" customFormat="1" ht="12.75" customHeight="1">
      <c r="A360" s="602"/>
      <c r="B360" s="610"/>
      <c r="C360" s="2528"/>
      <c r="D360" s="2528"/>
      <c r="E360" s="2528"/>
      <c r="F360" s="2528"/>
      <c r="G360" s="2528"/>
      <c r="H360" s="2528"/>
      <c r="I360" s="2528"/>
      <c r="J360" s="2528"/>
      <c r="K360" s="2528"/>
      <c r="L360" s="2528"/>
      <c r="M360" s="2528"/>
      <c r="N360" s="2528"/>
      <c r="O360" s="2528"/>
      <c r="P360" s="2528"/>
      <c r="Q360" s="2528"/>
      <c r="R360" s="2528"/>
      <c r="S360" s="2528"/>
      <c r="T360" s="2528"/>
      <c r="U360" s="2528"/>
      <c r="V360" s="2528"/>
      <c r="W360" s="2528"/>
      <c r="X360" s="2528"/>
      <c r="Y360" s="2528"/>
      <c r="Z360" s="2528"/>
      <c r="AA360" s="2528"/>
      <c r="AB360" s="2528"/>
      <c r="AC360" s="2528"/>
      <c r="AD360" s="2528"/>
      <c r="AE360" s="2528"/>
      <c r="AF360" s="2528"/>
      <c r="AG360" s="2528"/>
      <c r="AH360" s="2528"/>
      <c r="AI360" s="2528"/>
      <c r="AJ360" s="2528"/>
      <c r="AK360" s="602"/>
      <c r="AL360" s="602"/>
      <c r="AM360" s="602"/>
      <c r="AN360" s="596"/>
      <c r="AO360" s="596"/>
      <c r="AP360" s="695">
        <f>IF(C399="Yes",5,0)</f>
        <v>5</v>
      </c>
      <c r="AS360" s="2549">
        <f>IF(AND(AQ366&gt;0,AQ375&gt;0),(AQ366+AQ375)/2,0)</f>
        <v>10</v>
      </c>
      <c r="AT360" s="2549"/>
    </row>
    <row r="361" spans="1:46" s="549" customFormat="1" ht="12.75" customHeight="1">
      <c r="A361" s="602"/>
      <c r="B361" s="610"/>
      <c r="C361" s="2528"/>
      <c r="D361" s="2528"/>
      <c r="E361" s="2528"/>
      <c r="F361" s="2528"/>
      <c r="G361" s="2528"/>
      <c r="H361" s="2528"/>
      <c r="I361" s="2528"/>
      <c r="J361" s="2528"/>
      <c r="K361" s="2528"/>
      <c r="L361" s="2528"/>
      <c r="M361" s="2528"/>
      <c r="N361" s="2528"/>
      <c r="O361" s="2528"/>
      <c r="P361" s="2528"/>
      <c r="Q361" s="2528"/>
      <c r="R361" s="2528"/>
      <c r="S361" s="2528"/>
      <c r="T361" s="2528"/>
      <c r="U361" s="2528"/>
      <c r="V361" s="2528"/>
      <c r="W361" s="2528"/>
      <c r="X361" s="2528"/>
      <c r="Y361" s="2528"/>
      <c r="Z361" s="2528"/>
      <c r="AA361" s="2528"/>
      <c r="AB361" s="2528"/>
      <c r="AC361" s="2528"/>
      <c r="AD361" s="2528"/>
      <c r="AE361" s="2528"/>
      <c r="AF361" s="2528"/>
      <c r="AG361" s="2528"/>
      <c r="AH361" s="2528"/>
      <c r="AI361" s="2528"/>
      <c r="AJ361" s="2528"/>
      <c r="AK361" s="602"/>
      <c r="AL361" s="602"/>
      <c r="AM361" s="602"/>
      <c r="AN361" s="596"/>
      <c r="AO361" s="694" t="s">
        <v>582</v>
      </c>
      <c r="AP361" s="695">
        <f>IF(C407="Yes",5,0)</f>
        <v>0</v>
      </c>
      <c r="AS361" s="538" t="s">
        <v>1880</v>
      </c>
    </row>
    <row r="362" spans="1:46" s="549" customFormat="1" ht="12.75" customHeight="1">
      <c r="A362" s="602"/>
      <c r="B362" s="610"/>
      <c r="C362" s="2550" t="s">
        <v>2234</v>
      </c>
      <c r="D362" s="2550"/>
      <c r="E362" s="2550"/>
      <c r="F362" s="2550"/>
      <c r="G362" s="2550"/>
      <c r="H362" s="2550"/>
      <c r="I362" s="2550"/>
      <c r="J362" s="2550"/>
      <c r="K362" s="2550"/>
      <c r="L362" s="2550"/>
      <c r="M362" s="2550"/>
      <c r="N362" s="2550"/>
      <c r="O362" s="2550"/>
      <c r="P362" s="2550"/>
      <c r="Q362" s="2550"/>
      <c r="R362" s="2550"/>
      <c r="S362" s="2550"/>
      <c r="T362" s="2550"/>
      <c r="U362" s="2550"/>
      <c r="V362" s="2550"/>
      <c r="W362" s="2550"/>
      <c r="X362" s="2550"/>
      <c r="Y362" s="2550"/>
      <c r="Z362" s="2550"/>
      <c r="AA362" s="2550"/>
      <c r="AB362" s="2550"/>
      <c r="AC362" s="2550"/>
      <c r="AD362" s="2550"/>
      <c r="AE362" s="2550"/>
      <c r="AF362" s="2550"/>
      <c r="AG362" s="2550"/>
      <c r="AH362" s="2550"/>
      <c r="AI362" s="2550"/>
      <c r="AJ362" s="2550"/>
      <c r="AK362" s="602"/>
      <c r="AL362" s="602"/>
      <c r="AM362" s="602"/>
      <c r="AN362" s="596"/>
      <c r="AO362" s="596"/>
      <c r="AP362" s="695">
        <f>IF(C409="Yes",3,0)</f>
        <v>0</v>
      </c>
      <c r="AS362" s="2549">
        <f>IF(AQ366=0,AQ375,AQ366)</f>
        <v>10</v>
      </c>
      <c r="AT362" s="2549"/>
    </row>
    <row r="363" spans="1:46" s="549" customFormat="1" ht="12.75" customHeight="1">
      <c r="A363" s="602"/>
      <c r="B363" s="610"/>
      <c r="C363" s="2550"/>
      <c r="D363" s="2550"/>
      <c r="E363" s="2550"/>
      <c r="F363" s="2550"/>
      <c r="G363" s="2550"/>
      <c r="H363" s="2550"/>
      <c r="I363" s="2550"/>
      <c r="J363" s="2550"/>
      <c r="K363" s="2550"/>
      <c r="L363" s="2550"/>
      <c r="M363" s="2550"/>
      <c r="N363" s="2550"/>
      <c r="O363" s="2550"/>
      <c r="P363" s="2550"/>
      <c r="Q363" s="2550"/>
      <c r="R363" s="2550"/>
      <c r="S363" s="2550"/>
      <c r="T363" s="2550"/>
      <c r="U363" s="2550"/>
      <c r="V363" s="2550"/>
      <c r="W363" s="2550"/>
      <c r="X363" s="2550"/>
      <c r="Y363" s="2550"/>
      <c r="Z363" s="2550"/>
      <c r="AA363" s="2550"/>
      <c r="AB363" s="2550"/>
      <c r="AC363" s="2550"/>
      <c r="AD363" s="2550"/>
      <c r="AE363" s="2550"/>
      <c r="AF363" s="2550"/>
      <c r="AG363" s="2550"/>
      <c r="AH363" s="2550"/>
      <c r="AI363" s="2550"/>
      <c r="AJ363" s="2550"/>
      <c r="AK363" s="602"/>
      <c r="AL363" s="602"/>
      <c r="AM363" s="602"/>
      <c r="AN363" s="596"/>
      <c r="AO363" s="694" t="s">
        <v>764</v>
      </c>
      <c r="AP363" s="695">
        <f>IF(C412="Yes",5,0)</f>
        <v>0</v>
      </c>
    </row>
    <row r="364" spans="1:46" s="549" customFormat="1" ht="12.75" customHeight="1">
      <c r="A364" s="602"/>
      <c r="B364" s="610"/>
      <c r="C364" s="2550"/>
      <c r="D364" s="2550"/>
      <c r="E364" s="2550"/>
      <c r="F364" s="2550"/>
      <c r="G364" s="2550"/>
      <c r="H364" s="2550"/>
      <c r="I364" s="2550"/>
      <c r="J364" s="2550"/>
      <c r="K364" s="2550"/>
      <c r="L364" s="2550"/>
      <c r="M364" s="2550"/>
      <c r="N364" s="2550"/>
      <c r="O364" s="2550"/>
      <c r="P364" s="2550"/>
      <c r="Q364" s="2550"/>
      <c r="R364" s="2550"/>
      <c r="S364" s="2550"/>
      <c r="T364" s="2550"/>
      <c r="U364" s="2550"/>
      <c r="V364" s="2550"/>
      <c r="W364" s="2550"/>
      <c r="X364" s="2550"/>
      <c r="Y364" s="2550"/>
      <c r="Z364" s="2550"/>
      <c r="AA364" s="2550"/>
      <c r="AB364" s="2550"/>
      <c r="AC364" s="2550"/>
      <c r="AD364" s="2550"/>
      <c r="AE364" s="2550"/>
      <c r="AF364" s="2550"/>
      <c r="AG364" s="2550"/>
      <c r="AH364" s="2550"/>
      <c r="AI364" s="2550"/>
      <c r="AJ364" s="2550"/>
      <c r="AK364" s="602"/>
      <c r="AL364" s="602"/>
      <c r="AM364" s="602"/>
      <c r="AN364" s="596"/>
      <c r="AO364" s="694" t="s">
        <v>585</v>
      </c>
      <c r="AP364" s="695">
        <f>IF(C421="Yes",5,0)</f>
        <v>0</v>
      </c>
    </row>
    <row r="365" spans="1:46" s="549" customFormat="1" ht="11.85" customHeight="1">
      <c r="A365" s="602"/>
      <c r="B365" s="610"/>
      <c r="C365" s="2550"/>
      <c r="D365" s="2550"/>
      <c r="E365" s="2550"/>
      <c r="F365" s="2550"/>
      <c r="G365" s="2550"/>
      <c r="H365" s="2550"/>
      <c r="I365" s="2550"/>
      <c r="J365" s="2550"/>
      <c r="K365" s="2550"/>
      <c r="L365" s="2550"/>
      <c r="M365" s="2550"/>
      <c r="N365" s="2550"/>
      <c r="O365" s="2550"/>
      <c r="P365" s="2550"/>
      <c r="Q365" s="2550"/>
      <c r="R365" s="2550"/>
      <c r="S365" s="2550"/>
      <c r="T365" s="2550"/>
      <c r="U365" s="2550"/>
      <c r="V365" s="2550"/>
      <c r="W365" s="2550"/>
      <c r="X365" s="2550"/>
      <c r="Y365" s="2550"/>
      <c r="Z365" s="2550"/>
      <c r="AA365" s="2550"/>
      <c r="AB365" s="2550"/>
      <c r="AC365" s="2550"/>
      <c r="AD365" s="2550"/>
      <c r="AE365" s="2550"/>
      <c r="AF365" s="2550"/>
      <c r="AG365" s="2550"/>
      <c r="AH365" s="2550"/>
      <c r="AI365" s="2550"/>
      <c r="AJ365" s="2550"/>
      <c r="AK365" s="602"/>
      <c r="AL365" s="602"/>
      <c r="AM365" s="602"/>
      <c r="AN365" s="596"/>
      <c r="AO365" s="696"/>
      <c r="AP365" s="697">
        <f>IF(C423="Yes",3,0)</f>
        <v>0</v>
      </c>
    </row>
    <row r="366" spans="1:46" s="549" customFormat="1" ht="12.6" customHeight="1">
      <c r="A366" s="602"/>
      <c r="B366" s="610"/>
      <c r="C366" s="2550"/>
      <c r="D366" s="2550"/>
      <c r="E366" s="2550"/>
      <c r="F366" s="2550"/>
      <c r="G366" s="2550"/>
      <c r="H366" s="2550"/>
      <c r="I366" s="2550"/>
      <c r="J366" s="2550"/>
      <c r="K366" s="2550"/>
      <c r="L366" s="2550"/>
      <c r="M366" s="2550"/>
      <c r="N366" s="2550"/>
      <c r="O366" s="2550"/>
      <c r="P366" s="2550"/>
      <c r="Q366" s="2550"/>
      <c r="R366" s="2550"/>
      <c r="S366" s="2550"/>
      <c r="T366" s="2550"/>
      <c r="U366" s="2550"/>
      <c r="V366" s="2550"/>
      <c r="W366" s="2550"/>
      <c r="X366" s="2550"/>
      <c r="Y366" s="2550"/>
      <c r="Z366" s="2550"/>
      <c r="AA366" s="2550"/>
      <c r="AB366" s="2550"/>
      <c r="AC366" s="2550"/>
      <c r="AD366" s="2550"/>
      <c r="AE366" s="2550"/>
      <c r="AF366" s="2550"/>
      <c r="AG366" s="2550"/>
      <c r="AH366" s="2550"/>
      <c r="AI366" s="2550"/>
      <c r="AJ366" s="2550"/>
      <c r="AK366" s="602"/>
      <c r="AL366" s="602"/>
      <c r="AM366" s="602"/>
      <c r="AN366" s="596"/>
      <c r="AO366" s="698" t="s">
        <v>227</v>
      </c>
      <c r="AP366" s="699">
        <f>SUM(AP357:AP365)</f>
        <v>10</v>
      </c>
      <c r="AQ366" s="2551">
        <f>IF(AP366&gt;0,AP366,0)</f>
        <v>10</v>
      </c>
      <c r="AR366" s="2551"/>
    </row>
    <row r="367" spans="1:46" s="549" customFormat="1" ht="12.75" customHeight="1">
      <c r="A367" s="602"/>
      <c r="B367" s="610"/>
      <c r="C367" s="2550"/>
      <c r="D367" s="2550"/>
      <c r="E367" s="2550"/>
      <c r="F367" s="2550"/>
      <c r="G367" s="2550"/>
      <c r="H367" s="2550"/>
      <c r="I367" s="2550"/>
      <c r="J367" s="2550"/>
      <c r="K367" s="2550"/>
      <c r="L367" s="2550"/>
      <c r="M367" s="2550"/>
      <c r="N367" s="2550"/>
      <c r="O367" s="2550"/>
      <c r="P367" s="2550"/>
      <c r="Q367" s="2550"/>
      <c r="R367" s="2550"/>
      <c r="S367" s="2550"/>
      <c r="T367" s="2550"/>
      <c r="U367" s="2550"/>
      <c r="V367" s="2550"/>
      <c r="W367" s="2550"/>
      <c r="X367" s="2550"/>
      <c r="Y367" s="2550"/>
      <c r="Z367" s="2550"/>
      <c r="AA367" s="2550"/>
      <c r="AB367" s="2550"/>
      <c r="AC367" s="2550"/>
      <c r="AD367" s="2550"/>
      <c r="AE367" s="2550"/>
      <c r="AF367" s="2550"/>
      <c r="AG367" s="2550"/>
      <c r="AH367" s="2550"/>
      <c r="AI367" s="2550"/>
      <c r="AJ367" s="2550"/>
      <c r="AK367" s="602"/>
      <c r="AL367" s="602"/>
      <c r="AM367" s="602"/>
      <c r="AN367" s="596"/>
      <c r="AP367" s="569"/>
    </row>
    <row r="368" spans="1:46" s="549" customFormat="1" ht="12.75" customHeight="1">
      <c r="A368" s="602"/>
      <c r="B368" s="610"/>
      <c r="C368" s="691"/>
      <c r="D368" s="691"/>
      <c r="E368" s="691"/>
      <c r="F368" s="691"/>
      <c r="G368" s="691"/>
      <c r="H368" s="691"/>
      <c r="I368" s="691"/>
      <c r="J368" s="691"/>
      <c r="K368" s="691"/>
      <c r="L368" s="691"/>
      <c r="M368" s="691"/>
      <c r="N368" s="691"/>
      <c r="O368" s="691"/>
      <c r="P368" s="691"/>
      <c r="Q368" s="691"/>
      <c r="R368" s="691"/>
      <c r="S368" s="691"/>
      <c r="T368" s="691"/>
      <c r="U368" s="691"/>
      <c r="V368" s="691"/>
      <c r="W368" s="691"/>
      <c r="X368" s="691"/>
      <c r="Y368" s="691"/>
      <c r="Z368" s="691"/>
      <c r="AA368" s="691"/>
      <c r="AB368" s="691"/>
      <c r="AC368" s="691"/>
      <c r="AD368" s="691"/>
      <c r="AE368" s="691"/>
      <c r="AF368" s="691"/>
      <c r="AG368" s="691"/>
      <c r="AH368" s="691"/>
      <c r="AI368" s="691"/>
      <c r="AJ368" s="691"/>
      <c r="AK368" s="602"/>
      <c r="AL368" s="602"/>
      <c r="AM368" s="602"/>
      <c r="AN368" s="596"/>
      <c r="AO368" s="694" t="s">
        <v>456</v>
      </c>
      <c r="AP368" s="695">
        <f>IF(C430="Yes",5,0)</f>
        <v>5</v>
      </c>
    </row>
    <row r="369" spans="1:81" s="549" customFormat="1" ht="12.75" customHeight="1">
      <c r="A369" s="602"/>
      <c r="B369" s="610"/>
      <c r="C369" s="2528" t="s">
        <v>1459</v>
      </c>
      <c r="D369" s="2528"/>
      <c r="E369" s="2528"/>
      <c r="F369" s="2528"/>
      <c r="G369" s="2528"/>
      <c r="H369" s="2528"/>
      <c r="I369" s="2528"/>
      <c r="J369" s="2528"/>
      <c r="K369" s="2528"/>
      <c r="L369" s="2528"/>
      <c r="M369" s="2528"/>
      <c r="N369" s="2528"/>
      <c r="O369" s="2528"/>
      <c r="P369" s="2528"/>
      <c r="Q369" s="2528"/>
      <c r="R369" s="2528"/>
      <c r="S369" s="2528"/>
      <c r="T369" s="2528"/>
      <c r="U369" s="2528"/>
      <c r="V369" s="2528"/>
      <c r="W369" s="2528"/>
      <c r="X369" s="2528"/>
      <c r="Y369" s="2528"/>
      <c r="Z369" s="2528"/>
      <c r="AA369" s="2528"/>
      <c r="AB369" s="2528"/>
      <c r="AC369" s="2528"/>
      <c r="AD369" s="2528"/>
      <c r="AE369" s="2528"/>
      <c r="AF369" s="2528"/>
      <c r="AG369" s="2528"/>
      <c r="AH369" s="2528"/>
      <c r="AI369" s="2528"/>
      <c r="AJ369" s="2528"/>
      <c r="AK369" s="602"/>
      <c r="AL369" s="602"/>
      <c r="AM369" s="602"/>
      <c r="AN369" s="596"/>
      <c r="AO369" s="694" t="s">
        <v>457</v>
      </c>
      <c r="AP369" s="695">
        <f>IF(C442="Yes",5,0)</f>
        <v>0</v>
      </c>
    </row>
    <row r="370" spans="1:81" s="549" customFormat="1" ht="12.75" customHeight="1">
      <c r="A370" s="602"/>
      <c r="B370" s="610"/>
      <c r="C370" s="2528"/>
      <c r="D370" s="2528"/>
      <c r="E370" s="2528"/>
      <c r="F370" s="2528"/>
      <c r="G370" s="2528"/>
      <c r="H370" s="2528"/>
      <c r="I370" s="2528"/>
      <c r="J370" s="2528"/>
      <c r="K370" s="2528"/>
      <c r="L370" s="2528"/>
      <c r="M370" s="2528"/>
      <c r="N370" s="2528"/>
      <c r="O370" s="2528"/>
      <c r="P370" s="2528"/>
      <c r="Q370" s="2528"/>
      <c r="R370" s="2528"/>
      <c r="S370" s="2528"/>
      <c r="T370" s="2528"/>
      <c r="U370" s="2528"/>
      <c r="V370" s="2528"/>
      <c r="W370" s="2528"/>
      <c r="X370" s="2528"/>
      <c r="Y370" s="2528"/>
      <c r="Z370" s="2528"/>
      <c r="AA370" s="2528"/>
      <c r="AB370" s="2528"/>
      <c r="AC370" s="2528"/>
      <c r="AD370" s="2528"/>
      <c r="AE370" s="2528"/>
      <c r="AF370" s="2528"/>
      <c r="AG370" s="2528"/>
      <c r="AH370" s="2528"/>
      <c r="AI370" s="2528"/>
      <c r="AJ370" s="2528"/>
      <c r="AK370" s="602"/>
      <c r="AL370" s="602"/>
      <c r="AM370" s="602"/>
      <c r="AN370" s="596"/>
      <c r="AO370" s="694" t="s">
        <v>462</v>
      </c>
      <c r="AP370" s="695">
        <f>IF(C449="Yes",5,0)</f>
        <v>5</v>
      </c>
    </row>
    <row r="371" spans="1:81" s="549" customFormat="1" ht="68.099999999999994" customHeight="1">
      <c r="A371" s="602"/>
      <c r="B371" s="610"/>
      <c r="C371" s="2528"/>
      <c r="D371" s="2528"/>
      <c r="E371" s="2528"/>
      <c r="F371" s="2528"/>
      <c r="G371" s="2528"/>
      <c r="H371" s="2528"/>
      <c r="I371" s="2528"/>
      <c r="J371" s="2528"/>
      <c r="K371" s="2528"/>
      <c r="L371" s="2528"/>
      <c r="M371" s="2528"/>
      <c r="N371" s="2528"/>
      <c r="O371" s="2528"/>
      <c r="P371" s="2528"/>
      <c r="Q371" s="2528"/>
      <c r="R371" s="2528"/>
      <c r="S371" s="2528"/>
      <c r="T371" s="2528"/>
      <c r="U371" s="2528"/>
      <c r="V371" s="2528"/>
      <c r="W371" s="2528"/>
      <c r="X371" s="2528"/>
      <c r="Y371" s="2528"/>
      <c r="Z371" s="2528"/>
      <c r="AA371" s="2528"/>
      <c r="AB371" s="2528"/>
      <c r="AC371" s="2528"/>
      <c r="AD371" s="2528"/>
      <c r="AE371" s="2528"/>
      <c r="AF371" s="2528"/>
      <c r="AG371" s="2528"/>
      <c r="AH371" s="2528"/>
      <c r="AI371" s="2528"/>
      <c r="AJ371" s="2528"/>
      <c r="AK371" s="602"/>
      <c r="AL371" s="602"/>
      <c r="AM371" s="602"/>
      <c r="AN371" s="596"/>
      <c r="AO371" s="694" t="s">
        <v>647</v>
      </c>
      <c r="AP371" s="700">
        <f>IF(C453="Yes",5,0)</f>
        <v>0</v>
      </c>
    </row>
    <row r="372" spans="1:81" s="549" customFormat="1" ht="12.6" customHeight="1">
      <c r="A372" s="602"/>
      <c r="B372" s="610"/>
      <c r="C372" s="549" t="s">
        <v>1460</v>
      </c>
      <c r="AF372" s="602"/>
      <c r="AG372" s="602"/>
      <c r="AH372" s="602"/>
      <c r="AI372" s="602"/>
      <c r="AJ372" s="602"/>
      <c r="AK372" s="602"/>
      <c r="AL372" s="602"/>
      <c r="AM372" s="602"/>
      <c r="AN372" s="596"/>
      <c r="AO372" s="694" t="s">
        <v>362</v>
      </c>
      <c r="AP372" s="695">
        <f>IF(C457="Yes",5,0)</f>
        <v>0</v>
      </c>
    </row>
    <row r="373" spans="1:81" s="549" customFormat="1" ht="12.75" customHeight="1">
      <c r="A373" s="602"/>
      <c r="B373" s="610"/>
      <c r="C373" s="701" t="s">
        <v>2212</v>
      </c>
      <c r="D373" s="702"/>
      <c r="E373" s="702"/>
      <c r="F373" s="702"/>
      <c r="G373" s="702"/>
      <c r="H373" s="702"/>
      <c r="I373" s="702"/>
      <c r="J373" s="702"/>
      <c r="K373" s="702"/>
      <c r="L373" s="702"/>
      <c r="M373" s="666"/>
      <c r="N373" s="666"/>
      <c r="O373" s="703"/>
      <c r="P373" s="702"/>
      <c r="Q373" s="702"/>
      <c r="R373" s="666"/>
      <c r="S373" s="666"/>
      <c r="T373" s="702"/>
      <c r="U373" s="2636">
        <f>Application!DU802-U374</f>
        <v>74</v>
      </c>
      <c r="V373" s="2636"/>
      <c r="W373" s="2636"/>
      <c r="X373" s="702"/>
      <c r="Y373" s="702"/>
      <c r="Z373" s="702"/>
      <c r="AA373" s="704"/>
      <c r="AB373" s="705"/>
      <c r="AC373" s="705"/>
      <c r="AD373" s="705"/>
      <c r="AE373" s="602"/>
      <c r="AF373" s="602"/>
      <c r="AG373" s="602"/>
      <c r="AH373" s="602"/>
      <c r="AI373" s="602"/>
      <c r="AJ373" s="602"/>
      <c r="AK373" s="602"/>
      <c r="AL373" s="602"/>
      <c r="AM373" s="602"/>
      <c r="AN373" s="596"/>
      <c r="AO373" s="694" t="s">
        <v>363</v>
      </c>
      <c r="AP373" s="695">
        <f>IF(C466="Yes",5,0)</f>
        <v>0</v>
      </c>
    </row>
    <row r="374" spans="1:81" s="549" customFormat="1" ht="12.75" customHeight="1">
      <c r="A374" s="602"/>
      <c r="B374" s="610"/>
      <c r="C374" s="706" t="s">
        <v>2213</v>
      </c>
      <c r="D374" s="693"/>
      <c r="E374" s="693"/>
      <c r="F374" s="693"/>
      <c r="G374" s="693"/>
      <c r="H374" s="693"/>
      <c r="I374" s="693"/>
      <c r="J374" s="693"/>
      <c r="K374" s="693"/>
      <c r="L374" s="693"/>
      <c r="M374" s="693"/>
      <c r="N374" s="693"/>
      <c r="O374" s="693"/>
      <c r="P374" s="693"/>
      <c r="Q374" s="693"/>
      <c r="R374" s="693"/>
      <c r="S374" s="693"/>
      <c r="T374" s="693"/>
      <c r="U374" s="2637">
        <f>IF(Application!D211="SRO",Application!DU755,Application!AG756)</f>
        <v>75</v>
      </c>
      <c r="V374" s="2637"/>
      <c r="W374" s="2637"/>
      <c r="X374" s="693"/>
      <c r="Y374" s="693"/>
      <c r="Z374" s="693"/>
      <c r="AA374" s="707"/>
      <c r="AC374" s="708"/>
      <c r="AD374" s="708"/>
      <c r="AE374" s="602"/>
      <c r="AF374" s="602"/>
      <c r="AG374" s="602"/>
      <c r="AH374" s="602"/>
      <c r="AI374" s="602"/>
      <c r="AJ374" s="602"/>
      <c r="AK374" s="602"/>
      <c r="AL374" s="602"/>
      <c r="AM374" s="602"/>
      <c r="AN374" s="596"/>
      <c r="AO374" s="696"/>
      <c r="AP374" s="697"/>
    </row>
    <row r="375" spans="1:81" s="549" customFormat="1" ht="12.75" customHeight="1">
      <c r="A375" s="602"/>
      <c r="B375" s="610"/>
      <c r="C375" s="595"/>
      <c r="U375" s="786"/>
      <c r="V375" s="786"/>
      <c r="W375" s="786"/>
      <c r="AC375" s="708"/>
      <c r="AD375" s="708"/>
      <c r="AE375" s="602"/>
      <c r="AF375" s="602"/>
      <c r="AG375" s="602"/>
      <c r="AH375" s="602"/>
      <c r="AI375" s="602"/>
      <c r="AJ375" s="602"/>
      <c r="AK375" s="602"/>
      <c r="AL375" s="602"/>
      <c r="AM375" s="602"/>
      <c r="AN375" s="596"/>
      <c r="AO375" s="709" t="s">
        <v>227</v>
      </c>
      <c r="AP375" s="710">
        <f>SUM(AP368:AP373)</f>
        <v>10</v>
      </c>
      <c r="AQ375" s="2551">
        <f>IF(AP375&gt;0,AP375,0)</f>
        <v>10</v>
      </c>
      <c r="AR375" s="2551"/>
    </row>
    <row r="376" spans="1:81" s="549" customFormat="1" ht="12.75" customHeight="1">
      <c r="A376" s="602"/>
      <c r="B376" s="14"/>
      <c r="C376" s="711" t="s">
        <v>2210</v>
      </c>
      <c r="D376" s="602"/>
      <c r="E376" s="602"/>
      <c r="F376" s="602"/>
      <c r="G376" s="602"/>
      <c r="H376" s="602"/>
      <c r="I376" s="602"/>
      <c r="J376" s="602"/>
      <c r="K376" s="602"/>
      <c r="L376" s="602"/>
      <c r="M376" s="602"/>
      <c r="N376" s="602"/>
      <c r="O376" s="602"/>
      <c r="P376" s="602"/>
      <c r="Q376" s="602"/>
      <c r="R376" s="602"/>
      <c r="S376" s="602"/>
      <c r="T376" s="602"/>
      <c r="U376" s="602"/>
      <c r="V376" s="602"/>
      <c r="W376" s="602"/>
      <c r="X376" s="602"/>
      <c r="Y376" s="602"/>
      <c r="Z376" s="602"/>
      <c r="AA376" s="602"/>
      <c r="AB376" s="602"/>
      <c r="AC376" s="602"/>
      <c r="AD376" s="602"/>
      <c r="AE376" s="602"/>
      <c r="AF376" s="602"/>
      <c r="AG376" s="602"/>
      <c r="AH376" s="602"/>
      <c r="AI376" s="602"/>
      <c r="AJ376" s="602"/>
      <c r="AK376" s="602"/>
      <c r="AL376" s="602"/>
      <c r="AM376" s="602"/>
      <c r="AN376" s="596"/>
      <c r="BS376" s="30"/>
      <c r="BT376" s="30"/>
      <c r="BU376" s="14"/>
      <c r="BV376" s="14"/>
      <c r="BW376" s="14"/>
    </row>
    <row r="377" spans="1:81" s="549" customFormat="1" ht="12.75" customHeight="1">
      <c r="A377" s="535"/>
      <c r="B377" s="14"/>
      <c r="C377" s="712"/>
      <c r="D377" s="713"/>
      <c r="E377" s="714" t="s">
        <v>1316</v>
      </c>
      <c r="F377" s="2532" t="s">
        <v>1461</v>
      </c>
      <c r="G377" s="2532"/>
      <c r="H377" s="2532"/>
      <c r="I377" s="2532"/>
      <c r="J377" s="2532"/>
      <c r="K377" s="2532"/>
      <c r="L377" s="2532"/>
      <c r="M377" s="2532"/>
      <c r="N377" s="2532"/>
      <c r="O377" s="2532"/>
      <c r="P377" s="2532"/>
      <c r="Q377" s="2532"/>
      <c r="R377" s="2532"/>
      <c r="S377" s="2532"/>
      <c r="T377" s="2532"/>
      <c r="U377" s="2532"/>
      <c r="V377" s="2532"/>
      <c r="W377" s="2532"/>
      <c r="X377" s="2532"/>
      <c r="Y377" s="2532"/>
      <c r="Z377" s="2532"/>
      <c r="AA377" s="2532"/>
      <c r="AB377" s="2532"/>
      <c r="AC377" s="2532"/>
      <c r="AD377" s="2532"/>
      <c r="AE377" s="2532"/>
      <c r="AF377" s="2532"/>
      <c r="AG377" s="715"/>
      <c r="AH377" s="715"/>
      <c r="AI377" s="715"/>
      <c r="AJ377" s="715"/>
      <c r="AK377" s="715"/>
      <c r="AL377" s="716"/>
      <c r="AM377" s="569"/>
      <c r="AN377" s="596"/>
      <c r="AP377" s="569"/>
      <c r="BS377" s="30"/>
      <c r="BT377" s="30"/>
      <c r="BU377" s="14"/>
      <c r="BV377" s="14"/>
      <c r="BW377" s="14"/>
      <c r="BX377" s="14"/>
      <c r="BY377" s="14"/>
      <c r="BZ377" s="14"/>
      <c r="CA377" s="14"/>
      <c r="CB377" s="14"/>
      <c r="CC377" s="14"/>
    </row>
    <row r="378" spans="1:81" s="549" customFormat="1" ht="12.75" customHeight="1">
      <c r="A378" s="535"/>
      <c r="B378" s="14"/>
      <c r="C378" s="717"/>
      <c r="D378" s="535"/>
      <c r="E378" s="718"/>
      <c r="F378" s="2533"/>
      <c r="G378" s="2533"/>
      <c r="H378" s="2533"/>
      <c r="I378" s="2533"/>
      <c r="J378" s="2533"/>
      <c r="K378" s="2533"/>
      <c r="L378" s="2533"/>
      <c r="M378" s="2533"/>
      <c r="N378" s="2533"/>
      <c r="O378" s="2533"/>
      <c r="P378" s="2533"/>
      <c r="Q378" s="2533"/>
      <c r="R378" s="2533"/>
      <c r="S378" s="2533"/>
      <c r="T378" s="2533"/>
      <c r="U378" s="2533"/>
      <c r="V378" s="2533"/>
      <c r="W378" s="2533"/>
      <c r="X378" s="2533"/>
      <c r="Y378" s="2533"/>
      <c r="Z378" s="2533"/>
      <c r="AA378" s="2533"/>
      <c r="AB378" s="2533"/>
      <c r="AC378" s="2533"/>
      <c r="AD378" s="2533"/>
      <c r="AE378" s="2533"/>
      <c r="AF378" s="2533"/>
      <c r="AG378" s="538"/>
      <c r="AH378" s="538"/>
      <c r="AI378" s="538"/>
      <c r="AJ378" s="538"/>
      <c r="AK378" s="538"/>
      <c r="AL378" s="719"/>
      <c r="AM378" s="569"/>
      <c r="AN378" s="596"/>
      <c r="AP378" s="569"/>
      <c r="BS378" s="30"/>
      <c r="BT378" s="30"/>
      <c r="BU378" s="14"/>
      <c r="BV378" s="14"/>
      <c r="BW378" s="14"/>
      <c r="BX378" s="14"/>
      <c r="BY378" s="14"/>
      <c r="BZ378" s="14"/>
      <c r="CA378" s="14"/>
      <c r="CB378" s="14"/>
      <c r="CC378" s="14"/>
    </row>
    <row r="379" spans="1:81" s="549" customFormat="1" ht="12.75" customHeight="1">
      <c r="A379" s="535"/>
      <c r="B379" s="14"/>
      <c r="C379" s="717"/>
      <c r="D379" s="535"/>
      <c r="E379" s="718"/>
      <c r="F379" s="2533"/>
      <c r="G379" s="2533"/>
      <c r="H379" s="2533"/>
      <c r="I379" s="2533"/>
      <c r="J379" s="2533"/>
      <c r="K379" s="2533"/>
      <c r="L379" s="2533"/>
      <c r="M379" s="2533"/>
      <c r="N379" s="2533"/>
      <c r="O379" s="2533"/>
      <c r="P379" s="2533"/>
      <c r="Q379" s="2533"/>
      <c r="R379" s="2533"/>
      <c r="S379" s="2533"/>
      <c r="T379" s="2533"/>
      <c r="U379" s="2533"/>
      <c r="V379" s="2533"/>
      <c r="W379" s="2533"/>
      <c r="X379" s="2533"/>
      <c r="Y379" s="2533"/>
      <c r="Z379" s="2533"/>
      <c r="AA379" s="2533"/>
      <c r="AB379" s="2533"/>
      <c r="AC379" s="2533"/>
      <c r="AD379" s="2533"/>
      <c r="AE379" s="2533"/>
      <c r="AF379" s="2533"/>
      <c r="AG379" s="538"/>
      <c r="AH379" s="538"/>
      <c r="AI379" s="538"/>
      <c r="AJ379" s="538"/>
      <c r="AK379" s="538"/>
      <c r="AL379" s="719"/>
      <c r="AM379" s="569"/>
      <c r="AN379" s="596"/>
      <c r="BS379" s="30"/>
      <c r="BT379" s="30"/>
      <c r="BU379" s="14"/>
      <c r="BV379" s="14"/>
      <c r="BW379" s="14"/>
      <c r="BX379" s="14"/>
      <c r="BY379" s="14"/>
      <c r="BZ379" s="14"/>
      <c r="CA379" s="14"/>
      <c r="CB379" s="14"/>
      <c r="CC379" s="14"/>
    </row>
    <row r="380" spans="1:81" s="549" customFormat="1" ht="12.75" customHeight="1">
      <c r="A380" s="535"/>
      <c r="B380" s="14"/>
      <c r="C380" s="717"/>
      <c r="D380" s="535"/>
      <c r="E380" s="718"/>
      <c r="F380" s="2533"/>
      <c r="G380" s="2533"/>
      <c r="H380" s="2533"/>
      <c r="I380" s="2533"/>
      <c r="J380" s="2533"/>
      <c r="K380" s="2533"/>
      <c r="L380" s="2533"/>
      <c r="M380" s="2533"/>
      <c r="N380" s="2533"/>
      <c r="O380" s="2533"/>
      <c r="P380" s="2533"/>
      <c r="Q380" s="2533"/>
      <c r="R380" s="2533"/>
      <c r="S380" s="2533"/>
      <c r="T380" s="2533"/>
      <c r="U380" s="2533"/>
      <c r="V380" s="2533"/>
      <c r="W380" s="2533"/>
      <c r="X380" s="2533"/>
      <c r="Y380" s="2533"/>
      <c r="Z380" s="2533"/>
      <c r="AA380" s="2533"/>
      <c r="AB380" s="2533"/>
      <c r="AC380" s="2533"/>
      <c r="AD380" s="2533"/>
      <c r="AE380" s="2533"/>
      <c r="AF380" s="2533"/>
      <c r="AG380" s="538"/>
      <c r="AH380" s="538"/>
      <c r="AI380" s="538"/>
      <c r="AJ380" s="538"/>
      <c r="AK380" s="538"/>
      <c r="AL380" s="719"/>
      <c r="AM380" s="569"/>
      <c r="AN380" s="596"/>
      <c r="BS380" s="30"/>
      <c r="BT380" s="30"/>
      <c r="BU380" s="14"/>
      <c r="BV380" s="14"/>
      <c r="BW380" s="14"/>
      <c r="BX380" s="14"/>
      <c r="BY380" s="14"/>
      <c r="BZ380" s="14"/>
      <c r="CA380" s="14"/>
      <c r="CB380" s="14"/>
      <c r="CC380" s="14"/>
    </row>
    <row r="381" spans="1:81" s="549" customFormat="1" ht="12.75" customHeight="1">
      <c r="A381" s="535"/>
      <c r="B381" s="14"/>
      <c r="C381" s="2529" t="s">
        <v>546</v>
      </c>
      <c r="D381" s="2486"/>
      <c r="E381" s="718"/>
      <c r="F381" s="720" t="s">
        <v>1462</v>
      </c>
      <c r="G381" s="602"/>
      <c r="H381" s="602"/>
      <c r="I381" s="602"/>
      <c r="J381" s="602"/>
      <c r="K381" s="602"/>
      <c r="L381" s="602"/>
      <c r="M381" s="602"/>
      <c r="N381" s="602"/>
      <c r="O381" s="602"/>
      <c r="P381" s="602"/>
      <c r="Q381" s="602"/>
      <c r="R381" s="602"/>
      <c r="S381" s="602"/>
      <c r="T381" s="602"/>
      <c r="U381" s="602"/>
      <c r="V381" s="602"/>
      <c r="W381" s="602"/>
      <c r="X381" s="602"/>
      <c r="Y381" s="602"/>
      <c r="Z381" s="602"/>
      <c r="AA381" s="602"/>
      <c r="AB381" s="602"/>
      <c r="AC381" s="602"/>
      <c r="AD381" s="602"/>
      <c r="AF381" s="2530" t="s">
        <v>1463</v>
      </c>
      <c r="AG381" s="2530"/>
      <c r="AH381" s="2530"/>
      <c r="AI381" s="2530"/>
      <c r="AJ381" s="2530"/>
      <c r="AK381" s="2530"/>
      <c r="AL381" s="2531"/>
      <c r="AM381" s="721"/>
      <c r="BS381" s="30"/>
      <c r="BT381" s="30"/>
      <c r="BU381" s="14"/>
      <c r="BV381" s="14"/>
      <c r="BW381" s="14"/>
      <c r="BX381" s="14"/>
      <c r="BY381" s="14"/>
      <c r="BZ381" s="14"/>
      <c r="CA381" s="14"/>
      <c r="CB381" s="14"/>
      <c r="CC381" s="14"/>
    </row>
    <row r="382" spans="1:81" s="549" customFormat="1" ht="12.75" customHeight="1">
      <c r="A382" s="535"/>
      <c r="B382" s="14"/>
      <c r="C382" s="755"/>
      <c r="D382" s="722"/>
      <c r="E382" s="723"/>
      <c r="F382" s="724"/>
      <c r="G382" s="725"/>
      <c r="H382" s="725"/>
      <c r="I382" s="725"/>
      <c r="J382" s="725"/>
      <c r="K382" s="725"/>
      <c r="L382" s="725"/>
      <c r="M382" s="725"/>
      <c r="N382" s="725"/>
      <c r="O382" s="725"/>
      <c r="P382" s="725"/>
      <c r="Q382" s="725"/>
      <c r="R382" s="725"/>
      <c r="S382" s="725"/>
      <c r="T382" s="725"/>
      <c r="U382" s="725"/>
      <c r="V382" s="725"/>
      <c r="W382" s="725"/>
      <c r="X382" s="725"/>
      <c r="Y382" s="725"/>
      <c r="Z382" s="725"/>
      <c r="AA382" s="725"/>
      <c r="AB382" s="725"/>
      <c r="AC382" s="725"/>
      <c r="AD382" s="725"/>
      <c r="AE382" s="726"/>
      <c r="AF382" s="726"/>
      <c r="AG382" s="726"/>
      <c r="AH382" s="726"/>
      <c r="AI382" s="726"/>
      <c r="AJ382" s="726"/>
      <c r="AK382" s="726"/>
      <c r="AL382" s="756"/>
      <c r="AM382" s="728"/>
      <c r="AN382" s="596"/>
      <c r="CC382" s="14"/>
    </row>
    <row r="383" spans="1:81" s="549" customFormat="1" ht="12.75" customHeight="1">
      <c r="A383" s="535"/>
      <c r="B383" s="14"/>
      <c r="C383" s="729"/>
      <c r="D383" s="729"/>
      <c r="E383" s="718"/>
      <c r="F383" s="675"/>
      <c r="G383" s="675"/>
      <c r="H383" s="675"/>
      <c r="I383" s="675"/>
      <c r="J383" s="675"/>
      <c r="K383" s="675"/>
      <c r="L383" s="675"/>
      <c r="M383" s="675"/>
      <c r="N383" s="675"/>
      <c r="O383" s="675"/>
      <c r="P383" s="675"/>
      <c r="Q383" s="675"/>
      <c r="R383" s="675"/>
      <c r="S383" s="675"/>
      <c r="T383" s="675"/>
      <c r="U383" s="675"/>
      <c r="V383" s="675"/>
      <c r="W383" s="675"/>
      <c r="X383" s="675"/>
      <c r="Y383" s="675"/>
      <c r="Z383" s="675"/>
      <c r="AA383" s="675"/>
      <c r="AB383" s="675"/>
      <c r="AC383" s="675"/>
      <c r="AD383" s="675"/>
      <c r="AE383" s="590"/>
      <c r="AF383" s="590"/>
      <c r="AG383" s="590"/>
      <c r="AH383" s="590"/>
      <c r="AI383" s="590"/>
      <c r="AJ383" s="590"/>
      <c r="AK383" s="590"/>
      <c r="AL383" s="590"/>
      <c r="AM383" s="569"/>
      <c r="AN383" s="596"/>
      <c r="BS383" s="30"/>
      <c r="BT383" s="30"/>
      <c r="BU383" s="14"/>
      <c r="BV383" s="14"/>
      <c r="BW383" s="14"/>
      <c r="BX383" s="14"/>
      <c r="BY383" s="14"/>
      <c r="BZ383" s="14"/>
      <c r="CA383" s="14"/>
      <c r="CB383" s="14"/>
      <c r="CC383" s="14"/>
    </row>
    <row r="384" spans="1:81" s="549" customFormat="1" ht="12.75" customHeight="1">
      <c r="A384" s="535"/>
      <c r="B384" s="14"/>
      <c r="C384" s="712"/>
      <c r="D384" s="713"/>
      <c r="E384" s="714" t="s">
        <v>1318</v>
      </c>
      <c r="F384" s="2532" t="s">
        <v>1464</v>
      </c>
      <c r="G384" s="2532"/>
      <c r="H384" s="2532"/>
      <c r="I384" s="2532"/>
      <c r="J384" s="2532"/>
      <c r="K384" s="2532"/>
      <c r="L384" s="2532"/>
      <c r="M384" s="2532"/>
      <c r="N384" s="2532"/>
      <c r="O384" s="2532"/>
      <c r="P384" s="2532"/>
      <c r="Q384" s="2532"/>
      <c r="R384" s="2532"/>
      <c r="S384" s="2532"/>
      <c r="T384" s="2532"/>
      <c r="U384" s="2532"/>
      <c r="V384" s="2532"/>
      <c r="W384" s="2532"/>
      <c r="X384" s="2532"/>
      <c r="Y384" s="2532"/>
      <c r="Z384" s="2532"/>
      <c r="AA384" s="2532"/>
      <c r="AB384" s="2532"/>
      <c r="AC384" s="2532"/>
      <c r="AD384" s="2532"/>
      <c r="AE384" s="2532"/>
      <c r="AF384" s="2532"/>
      <c r="AG384" s="715"/>
      <c r="AH384" s="715"/>
      <c r="AI384" s="715"/>
      <c r="AJ384" s="715"/>
      <c r="AK384" s="715"/>
      <c r="AL384" s="716"/>
      <c r="AM384" s="569"/>
      <c r="AN384" s="596"/>
      <c r="BS384" s="30"/>
      <c r="BT384" s="30"/>
      <c r="BU384" s="14"/>
      <c r="BV384" s="14"/>
      <c r="BW384" s="14"/>
      <c r="BX384" s="14"/>
      <c r="BY384" s="14"/>
      <c r="BZ384" s="14"/>
      <c r="CA384" s="14"/>
      <c r="CB384" s="14"/>
      <c r="CC384" s="14"/>
    </row>
    <row r="385" spans="1:81" s="549" customFormat="1" ht="12.75" customHeight="1">
      <c r="A385" s="535"/>
      <c r="B385" s="14"/>
      <c r="C385" s="730"/>
      <c r="D385" s="14"/>
      <c r="E385" s="690"/>
      <c r="F385" s="2533"/>
      <c r="G385" s="2533"/>
      <c r="H385" s="2533"/>
      <c r="I385" s="2533"/>
      <c r="J385" s="2533"/>
      <c r="K385" s="2533"/>
      <c r="L385" s="2533"/>
      <c r="M385" s="2533"/>
      <c r="N385" s="2533"/>
      <c r="O385" s="2533"/>
      <c r="P385" s="2533"/>
      <c r="Q385" s="2533"/>
      <c r="R385" s="2533"/>
      <c r="S385" s="2533"/>
      <c r="T385" s="2533"/>
      <c r="U385" s="2533"/>
      <c r="V385" s="2533"/>
      <c r="W385" s="2533"/>
      <c r="X385" s="2533"/>
      <c r="Y385" s="2533"/>
      <c r="Z385" s="2533"/>
      <c r="AA385" s="2533"/>
      <c r="AB385" s="2533"/>
      <c r="AC385" s="2533"/>
      <c r="AD385" s="2533"/>
      <c r="AE385" s="2533"/>
      <c r="AF385" s="2533"/>
      <c r="AG385" s="538"/>
      <c r="AH385" s="538"/>
      <c r="AI385" s="538"/>
      <c r="AJ385" s="538"/>
      <c r="AK385" s="538"/>
      <c r="AL385" s="719"/>
      <c r="AM385" s="569"/>
      <c r="AN385" s="596"/>
      <c r="BS385" s="30"/>
      <c r="BT385" s="30"/>
      <c r="BU385" s="14"/>
      <c r="BV385" s="14"/>
      <c r="BW385" s="14"/>
      <c r="BX385" s="14"/>
      <c r="BY385" s="14"/>
      <c r="BZ385" s="14"/>
      <c r="CA385" s="14"/>
      <c r="CB385" s="14"/>
      <c r="CC385" s="14"/>
    </row>
    <row r="386" spans="1:81" s="549" customFormat="1" ht="12.75" customHeight="1">
      <c r="A386" s="535"/>
      <c r="B386" s="14"/>
      <c r="C386" s="730"/>
      <c r="D386" s="14"/>
      <c r="E386" s="690"/>
      <c r="F386" s="2533"/>
      <c r="G386" s="2533"/>
      <c r="H386" s="2533"/>
      <c r="I386" s="2533"/>
      <c r="J386" s="2533"/>
      <c r="K386" s="2533"/>
      <c r="L386" s="2533"/>
      <c r="M386" s="2533"/>
      <c r="N386" s="2533"/>
      <c r="O386" s="2533"/>
      <c r="P386" s="2533"/>
      <c r="Q386" s="2533"/>
      <c r="R386" s="2533"/>
      <c r="S386" s="2533"/>
      <c r="T386" s="2533"/>
      <c r="U386" s="2533"/>
      <c r="V386" s="2533"/>
      <c r="W386" s="2533"/>
      <c r="X386" s="2533"/>
      <c r="Y386" s="2533"/>
      <c r="Z386" s="2533"/>
      <c r="AA386" s="2533"/>
      <c r="AB386" s="2533"/>
      <c r="AC386" s="2533"/>
      <c r="AD386" s="2533"/>
      <c r="AE386" s="2533"/>
      <c r="AF386" s="2533"/>
      <c r="AG386" s="538"/>
      <c r="AH386" s="538"/>
      <c r="AI386" s="538"/>
      <c r="AJ386" s="538"/>
      <c r="AK386" s="538"/>
      <c r="AL386" s="719"/>
      <c r="AM386" s="569"/>
      <c r="AN386" s="596"/>
      <c r="BS386" s="30"/>
      <c r="BT386" s="30"/>
      <c r="BU386" s="14"/>
      <c r="BV386" s="14"/>
      <c r="BW386" s="14"/>
      <c r="BX386" s="14"/>
      <c r="BY386" s="14"/>
      <c r="BZ386" s="14"/>
      <c r="CA386" s="14"/>
      <c r="CB386" s="14"/>
      <c r="CC386" s="14"/>
    </row>
    <row r="387" spans="1:81" s="549" customFormat="1" ht="12.75" customHeight="1">
      <c r="A387" s="535"/>
      <c r="B387" s="14"/>
      <c r="C387" s="730"/>
      <c r="D387" s="14"/>
      <c r="E387" s="690"/>
      <c r="F387" s="2533"/>
      <c r="G387" s="2533"/>
      <c r="H387" s="2533"/>
      <c r="I387" s="2533"/>
      <c r="J387" s="2533"/>
      <c r="K387" s="2533"/>
      <c r="L387" s="2533"/>
      <c r="M387" s="2533"/>
      <c r="N387" s="2533"/>
      <c r="O387" s="2533"/>
      <c r="P387" s="2533"/>
      <c r="Q387" s="2533"/>
      <c r="R387" s="2533"/>
      <c r="S387" s="2533"/>
      <c r="T387" s="2533"/>
      <c r="U387" s="2533"/>
      <c r="V387" s="2533"/>
      <c r="W387" s="2533"/>
      <c r="X387" s="2533"/>
      <c r="Y387" s="2533"/>
      <c r="Z387" s="2533"/>
      <c r="AA387" s="2533"/>
      <c r="AB387" s="2533"/>
      <c r="AC387" s="2533"/>
      <c r="AD387" s="2533"/>
      <c r="AE387" s="2533"/>
      <c r="AF387" s="2533"/>
      <c r="AG387" s="538"/>
      <c r="AH387" s="538"/>
      <c r="AI387" s="538"/>
      <c r="AJ387" s="538"/>
      <c r="AK387" s="538"/>
      <c r="AL387" s="719"/>
      <c r="AM387" s="569"/>
      <c r="AN387" s="596"/>
      <c r="BS387" s="30"/>
      <c r="BT387" s="30"/>
      <c r="BU387" s="14"/>
      <c r="BV387" s="14"/>
      <c r="BW387" s="14"/>
      <c r="BX387" s="14"/>
      <c r="BY387" s="14"/>
      <c r="BZ387" s="14"/>
      <c r="CA387" s="14"/>
      <c r="CB387" s="14"/>
      <c r="CC387" s="14"/>
    </row>
    <row r="388" spans="1:81" s="549" customFormat="1" ht="12.75" customHeight="1">
      <c r="A388" s="535"/>
      <c r="B388" s="14"/>
      <c r="C388" s="730"/>
      <c r="D388" s="14"/>
      <c r="E388" s="690"/>
      <c r="F388" s="2533"/>
      <c r="G388" s="2533"/>
      <c r="H388" s="2533"/>
      <c r="I388" s="2533"/>
      <c r="J388" s="2533"/>
      <c r="K388" s="2533"/>
      <c r="L388" s="2533"/>
      <c r="M388" s="2533"/>
      <c r="N388" s="2533"/>
      <c r="O388" s="2533"/>
      <c r="P388" s="2533"/>
      <c r="Q388" s="2533"/>
      <c r="R388" s="2533"/>
      <c r="S388" s="2533"/>
      <c r="T388" s="2533"/>
      <c r="U388" s="2533"/>
      <c r="V388" s="2533"/>
      <c r="W388" s="2533"/>
      <c r="X388" s="2533"/>
      <c r="Y388" s="2533"/>
      <c r="Z388" s="2533"/>
      <c r="AA388" s="2533"/>
      <c r="AB388" s="2533"/>
      <c r="AC388" s="2533"/>
      <c r="AD388" s="2533"/>
      <c r="AE388" s="2533"/>
      <c r="AF388" s="2533"/>
      <c r="AL388" s="731"/>
      <c r="AN388" s="596"/>
      <c r="BS388" s="30"/>
      <c r="BT388" s="30"/>
      <c r="BU388" s="14"/>
      <c r="BV388" s="14"/>
      <c r="BW388" s="14"/>
      <c r="BX388" s="14"/>
      <c r="BY388" s="14"/>
      <c r="BZ388" s="14"/>
      <c r="CA388" s="14"/>
      <c r="CB388" s="14"/>
      <c r="CC388" s="14"/>
    </row>
    <row r="389" spans="1:81" s="549" customFormat="1" ht="12.75" customHeight="1">
      <c r="A389" s="535"/>
      <c r="B389" s="14"/>
      <c r="C389" s="2529" t="s">
        <v>592</v>
      </c>
      <c r="D389" s="2486"/>
      <c r="E389" s="690"/>
      <c r="F389" s="720" t="s">
        <v>1465</v>
      </c>
      <c r="G389" s="602"/>
      <c r="H389" s="602"/>
      <c r="I389" s="602"/>
      <c r="J389" s="602"/>
      <c r="K389" s="602"/>
      <c r="L389" s="602"/>
      <c r="M389" s="602"/>
      <c r="N389" s="602"/>
      <c r="O389" s="602"/>
      <c r="P389" s="602"/>
      <c r="Q389" s="602"/>
      <c r="R389" s="602"/>
      <c r="S389" s="602"/>
      <c r="T389" s="602"/>
      <c r="U389" s="602"/>
      <c r="V389" s="602"/>
      <c r="W389" s="602"/>
      <c r="X389" s="602"/>
      <c r="Y389" s="602"/>
      <c r="Z389" s="602"/>
      <c r="AA389" s="602"/>
      <c r="AB389" s="602"/>
      <c r="AC389" s="602"/>
      <c r="AD389" s="602"/>
      <c r="AF389" s="2530" t="s">
        <v>1463</v>
      </c>
      <c r="AG389" s="2530"/>
      <c r="AH389" s="2530"/>
      <c r="AI389" s="2530"/>
      <c r="AJ389" s="2530"/>
      <c r="AK389" s="2530"/>
      <c r="AL389" s="2531"/>
      <c r="AM389" s="728"/>
      <c r="AN389" s="596"/>
      <c r="BS389" s="30"/>
      <c r="BT389" s="30"/>
      <c r="BU389" s="14"/>
      <c r="BV389" s="14"/>
      <c r="BW389" s="14"/>
      <c r="BX389" s="14"/>
      <c r="BY389" s="14"/>
      <c r="BZ389" s="14"/>
      <c r="CA389" s="14"/>
      <c r="CB389" s="14"/>
      <c r="CC389" s="14"/>
    </row>
    <row r="390" spans="1:81" s="549" customFormat="1" ht="12.75" customHeight="1">
      <c r="A390" s="535"/>
      <c r="B390" s="14"/>
      <c r="C390" s="739"/>
      <c r="D390" s="732"/>
      <c r="E390" s="733"/>
      <c r="F390" s="734"/>
      <c r="G390" s="735"/>
      <c r="H390" s="735"/>
      <c r="I390" s="735"/>
      <c r="J390" s="735"/>
      <c r="K390" s="735"/>
      <c r="L390" s="735"/>
      <c r="M390" s="735"/>
      <c r="N390" s="735"/>
      <c r="O390" s="735"/>
      <c r="P390" s="735"/>
      <c r="Q390" s="735"/>
      <c r="R390" s="735"/>
      <c r="S390" s="735"/>
      <c r="T390" s="735"/>
      <c r="U390" s="735"/>
      <c r="V390" s="735"/>
      <c r="W390" s="735"/>
      <c r="X390" s="735"/>
      <c r="Y390" s="735"/>
      <c r="Z390" s="735"/>
      <c r="AA390" s="735"/>
      <c r="AB390" s="735"/>
      <c r="AC390" s="735"/>
      <c r="AD390" s="735"/>
      <c r="AE390" s="736"/>
      <c r="AF390" s="582"/>
      <c r="AG390" s="736"/>
      <c r="AH390" s="726"/>
      <c r="AI390" s="726"/>
      <c r="AJ390" s="726"/>
      <c r="AK390" s="726"/>
      <c r="AL390" s="741"/>
      <c r="AM390" s="728"/>
      <c r="AN390" s="596"/>
      <c r="BS390" s="30"/>
      <c r="BT390" s="30"/>
      <c r="BU390" s="14"/>
      <c r="BV390" s="14"/>
      <c r="BW390" s="14"/>
      <c r="BX390" s="14"/>
      <c r="BY390" s="14"/>
      <c r="BZ390" s="14"/>
      <c r="CA390" s="14"/>
      <c r="CB390" s="14"/>
      <c r="CC390" s="14"/>
    </row>
    <row r="391" spans="1:81" s="549" customFormat="1" ht="12.75" customHeight="1">
      <c r="A391" s="535"/>
      <c r="B391" s="14"/>
      <c r="C391" s="14"/>
      <c r="D391" s="14"/>
      <c r="E391" s="690"/>
      <c r="F391" s="675"/>
      <c r="G391" s="675"/>
      <c r="H391" s="675"/>
      <c r="I391" s="675"/>
      <c r="J391" s="675"/>
      <c r="K391" s="675"/>
      <c r="L391" s="675"/>
      <c r="M391" s="675"/>
      <c r="N391" s="675"/>
      <c r="O391" s="675"/>
      <c r="P391" s="675"/>
      <c r="Q391" s="675"/>
      <c r="R391" s="675"/>
      <c r="S391" s="675"/>
      <c r="T391" s="675"/>
      <c r="U391" s="675"/>
      <c r="V391" s="675"/>
      <c r="W391" s="675"/>
      <c r="X391" s="675"/>
      <c r="Y391" s="675"/>
      <c r="Z391" s="675"/>
      <c r="AA391" s="675"/>
      <c r="AB391" s="675"/>
      <c r="AC391" s="675"/>
      <c r="AD391" s="675"/>
      <c r="AE391" s="535"/>
      <c r="AF391" s="538"/>
      <c r="AG391" s="535"/>
      <c r="AM391" s="569"/>
      <c r="AN391" s="596"/>
      <c r="BS391" s="30"/>
      <c r="BT391" s="30"/>
      <c r="BU391" s="14"/>
      <c r="BV391" s="14"/>
      <c r="BW391" s="14"/>
      <c r="BX391" s="14"/>
      <c r="BY391" s="14"/>
      <c r="BZ391" s="14"/>
      <c r="CA391" s="14"/>
      <c r="CB391" s="14"/>
      <c r="CC391" s="14"/>
    </row>
    <row r="392" spans="1:81" s="549" customFormat="1" ht="12.75" customHeight="1">
      <c r="A392" s="535"/>
      <c r="B392" s="14"/>
      <c r="C392" s="712"/>
      <c r="D392" s="713"/>
      <c r="E392" s="714" t="s">
        <v>1321</v>
      </c>
      <c r="F392" s="2532" t="s">
        <v>1466</v>
      </c>
      <c r="G392" s="2532"/>
      <c r="H392" s="2532"/>
      <c r="I392" s="2532"/>
      <c r="J392" s="2532"/>
      <c r="K392" s="2532"/>
      <c r="L392" s="2532"/>
      <c r="M392" s="2532"/>
      <c r="N392" s="2532"/>
      <c r="O392" s="2532"/>
      <c r="P392" s="2532"/>
      <c r="Q392" s="2532"/>
      <c r="R392" s="2532"/>
      <c r="S392" s="2532"/>
      <c r="T392" s="2532"/>
      <c r="U392" s="2532"/>
      <c r="V392" s="2532"/>
      <c r="W392" s="2532"/>
      <c r="X392" s="2532"/>
      <c r="Y392" s="2532"/>
      <c r="Z392" s="2532"/>
      <c r="AA392" s="2532"/>
      <c r="AB392" s="2532"/>
      <c r="AC392" s="2532"/>
      <c r="AD392" s="2532"/>
      <c r="AE392" s="2532"/>
      <c r="AF392" s="2532"/>
      <c r="AG392" s="715"/>
      <c r="AH392" s="715"/>
      <c r="AI392" s="715"/>
      <c r="AJ392" s="715"/>
      <c r="AK392" s="715"/>
      <c r="AL392" s="716"/>
      <c r="AM392" s="569"/>
      <c r="AN392" s="596"/>
      <c r="BS392" s="569"/>
      <c r="BT392" s="569"/>
      <c r="BU392" s="569"/>
      <c r="BV392" s="569"/>
      <c r="BW392" s="569"/>
      <c r="BX392" s="569"/>
      <c r="BY392" s="569"/>
      <c r="BZ392" s="569"/>
      <c r="CA392" s="569"/>
      <c r="CB392" s="569"/>
      <c r="CC392" s="569"/>
    </row>
    <row r="393" spans="1:81" s="549" customFormat="1" ht="12.75" customHeight="1">
      <c r="A393" s="535"/>
      <c r="B393" s="14"/>
      <c r="C393" s="730"/>
      <c r="D393" s="14"/>
      <c r="E393" s="690"/>
      <c r="F393" s="2533"/>
      <c r="G393" s="2533"/>
      <c r="H393" s="2533"/>
      <c r="I393" s="2533"/>
      <c r="J393" s="2533"/>
      <c r="K393" s="2533"/>
      <c r="L393" s="2533"/>
      <c r="M393" s="2533"/>
      <c r="N393" s="2533"/>
      <c r="O393" s="2533"/>
      <c r="P393" s="2533"/>
      <c r="Q393" s="2533"/>
      <c r="R393" s="2533"/>
      <c r="S393" s="2533"/>
      <c r="T393" s="2533"/>
      <c r="U393" s="2533"/>
      <c r="V393" s="2533"/>
      <c r="W393" s="2533"/>
      <c r="X393" s="2533"/>
      <c r="Y393" s="2533"/>
      <c r="Z393" s="2533"/>
      <c r="AA393" s="2533"/>
      <c r="AB393" s="2533"/>
      <c r="AC393" s="2533"/>
      <c r="AD393" s="2533"/>
      <c r="AE393" s="2533"/>
      <c r="AF393" s="2533"/>
      <c r="AG393" s="538"/>
      <c r="AH393" s="538"/>
      <c r="AI393" s="538"/>
      <c r="AJ393" s="538"/>
      <c r="AK393" s="538"/>
      <c r="AL393" s="719"/>
      <c r="AM393" s="569"/>
      <c r="AN393" s="596"/>
      <c r="BS393" s="569"/>
      <c r="BT393" s="569"/>
      <c r="BU393" s="569"/>
      <c r="BV393" s="569"/>
      <c r="BW393" s="569"/>
      <c r="BX393" s="569"/>
      <c r="BY393" s="569"/>
      <c r="BZ393" s="569"/>
      <c r="CA393" s="569"/>
      <c r="CB393" s="569"/>
      <c r="CC393" s="569"/>
    </row>
    <row r="394" spans="1:81" s="549" customFormat="1" ht="12.75" customHeight="1">
      <c r="A394" s="535"/>
      <c r="B394" s="14"/>
      <c r="C394" s="730"/>
      <c r="D394" s="14"/>
      <c r="E394" s="690"/>
      <c r="F394" s="2533"/>
      <c r="G394" s="2533"/>
      <c r="H394" s="2533"/>
      <c r="I394" s="2533"/>
      <c r="J394" s="2533"/>
      <c r="K394" s="2533"/>
      <c r="L394" s="2533"/>
      <c r="M394" s="2533"/>
      <c r="N394" s="2533"/>
      <c r="O394" s="2533"/>
      <c r="P394" s="2533"/>
      <c r="Q394" s="2533"/>
      <c r="R394" s="2533"/>
      <c r="S394" s="2533"/>
      <c r="T394" s="2533"/>
      <c r="U394" s="2533"/>
      <c r="V394" s="2533"/>
      <c r="W394" s="2533"/>
      <c r="X394" s="2533"/>
      <c r="Y394" s="2533"/>
      <c r="Z394" s="2533"/>
      <c r="AA394" s="2533"/>
      <c r="AB394" s="2533"/>
      <c r="AC394" s="2533"/>
      <c r="AD394" s="2533"/>
      <c r="AE394" s="2533"/>
      <c r="AF394" s="2533"/>
      <c r="AG394" s="538"/>
      <c r="AH394" s="538"/>
      <c r="AI394" s="538"/>
      <c r="AJ394" s="538"/>
      <c r="AK394" s="538"/>
      <c r="AL394" s="719"/>
      <c r="AM394" s="569"/>
      <c r="AN394" s="596"/>
      <c r="BS394" s="569"/>
      <c r="BT394" s="569"/>
      <c r="BU394" s="569"/>
      <c r="BV394" s="569"/>
      <c r="BW394" s="569"/>
      <c r="BX394" s="569"/>
      <c r="BY394" s="569"/>
      <c r="BZ394" s="569"/>
      <c r="CA394" s="569"/>
      <c r="CB394" s="569"/>
      <c r="CC394" s="569"/>
    </row>
    <row r="395" spans="1:81" s="549" customFormat="1" ht="12.75" customHeight="1">
      <c r="A395" s="535"/>
      <c r="B395" s="14"/>
      <c r="C395" s="730"/>
      <c r="D395" s="14"/>
      <c r="E395" s="690"/>
      <c r="F395" s="2533"/>
      <c r="G395" s="2533"/>
      <c r="H395" s="2533"/>
      <c r="I395" s="2533"/>
      <c r="J395" s="2533"/>
      <c r="K395" s="2533"/>
      <c r="L395" s="2533"/>
      <c r="M395" s="2533"/>
      <c r="N395" s="2533"/>
      <c r="O395" s="2533"/>
      <c r="P395" s="2533"/>
      <c r="Q395" s="2533"/>
      <c r="R395" s="2533"/>
      <c r="S395" s="2533"/>
      <c r="T395" s="2533"/>
      <c r="U395" s="2533"/>
      <c r="V395" s="2533"/>
      <c r="W395" s="2533"/>
      <c r="X395" s="2533"/>
      <c r="Y395" s="2533"/>
      <c r="Z395" s="2533"/>
      <c r="AA395" s="2533"/>
      <c r="AB395" s="2533"/>
      <c r="AC395" s="2533"/>
      <c r="AD395" s="2533"/>
      <c r="AE395" s="2533"/>
      <c r="AF395" s="2533"/>
      <c r="AG395" s="538"/>
      <c r="AH395" s="538"/>
      <c r="AI395" s="538"/>
      <c r="AJ395" s="538"/>
      <c r="AK395" s="538"/>
      <c r="AL395" s="719"/>
      <c r="AM395" s="569"/>
      <c r="AN395" s="596"/>
      <c r="BS395" s="569"/>
      <c r="BT395" s="569"/>
      <c r="BU395" s="569"/>
      <c r="BV395" s="569"/>
      <c r="BW395" s="569"/>
      <c r="BX395" s="569"/>
      <c r="BY395" s="569"/>
      <c r="BZ395" s="569"/>
      <c r="CA395" s="569"/>
      <c r="CB395" s="569"/>
      <c r="CC395" s="569"/>
    </row>
    <row r="396" spans="1:81" s="549" customFormat="1" ht="12.75" customHeight="1">
      <c r="A396" s="535"/>
      <c r="B396" s="14"/>
      <c r="C396" s="730"/>
      <c r="D396" s="14"/>
      <c r="E396" s="690"/>
      <c r="F396" s="2533"/>
      <c r="G396" s="2533"/>
      <c r="H396" s="2533"/>
      <c r="I396" s="2533"/>
      <c r="J396" s="2533"/>
      <c r="K396" s="2533"/>
      <c r="L396" s="2533"/>
      <c r="M396" s="2533"/>
      <c r="N396" s="2533"/>
      <c r="O396" s="2533"/>
      <c r="P396" s="2533"/>
      <c r="Q396" s="2533"/>
      <c r="R396" s="2533"/>
      <c r="S396" s="2533"/>
      <c r="T396" s="2533"/>
      <c r="U396" s="2533"/>
      <c r="V396" s="2533"/>
      <c r="W396" s="2533"/>
      <c r="X396" s="2533"/>
      <c r="Y396" s="2533"/>
      <c r="Z396" s="2533"/>
      <c r="AA396" s="2533"/>
      <c r="AB396" s="2533"/>
      <c r="AC396" s="2533"/>
      <c r="AD396" s="2533"/>
      <c r="AE396" s="2533"/>
      <c r="AF396" s="2533"/>
      <c r="AG396" s="538"/>
      <c r="AH396" s="538"/>
      <c r="AI396" s="538"/>
      <c r="AJ396" s="538"/>
      <c r="AK396" s="538"/>
      <c r="AL396" s="719"/>
      <c r="AM396" s="569"/>
      <c r="AN396" s="596"/>
      <c r="BS396" s="569"/>
      <c r="BT396" s="569"/>
      <c r="BU396" s="569"/>
      <c r="BV396" s="569"/>
      <c r="BW396" s="569"/>
      <c r="BX396" s="569"/>
      <c r="BY396" s="569"/>
      <c r="BZ396" s="569"/>
      <c r="CA396" s="569"/>
      <c r="CB396" s="569"/>
      <c r="CC396" s="569"/>
    </row>
    <row r="397" spans="1:81" s="549" customFormat="1" ht="12.75" customHeight="1">
      <c r="A397" s="535"/>
      <c r="B397" s="14"/>
      <c r="C397" s="2529" t="s">
        <v>592</v>
      </c>
      <c r="D397" s="2486"/>
      <c r="E397" s="690"/>
      <c r="F397" s="720" t="s">
        <v>1467</v>
      </c>
      <c r="G397" s="602"/>
      <c r="H397" s="602"/>
      <c r="I397" s="602"/>
      <c r="J397" s="602"/>
      <c r="K397" s="602"/>
      <c r="L397" s="602"/>
      <c r="M397" s="602"/>
      <c r="N397" s="602"/>
      <c r="O397" s="602"/>
      <c r="P397" s="602"/>
      <c r="Q397" s="602"/>
      <c r="R397" s="602"/>
      <c r="S397" s="602"/>
      <c r="T397" s="602"/>
      <c r="U397" s="602"/>
      <c r="V397" s="602"/>
      <c r="W397" s="602"/>
      <c r="X397" s="602"/>
      <c r="Y397" s="602"/>
      <c r="Z397" s="602"/>
      <c r="AA397" s="602"/>
      <c r="AB397" s="602"/>
      <c r="AC397" s="602"/>
      <c r="AD397" s="602"/>
      <c r="AF397" s="2530" t="s">
        <v>1468</v>
      </c>
      <c r="AG397" s="2530"/>
      <c r="AH397" s="2530"/>
      <c r="AI397" s="2530"/>
      <c r="AJ397" s="2530"/>
      <c r="AK397" s="2530"/>
      <c r="AL397" s="2531"/>
      <c r="AM397" s="721"/>
      <c r="BS397" s="569"/>
      <c r="BT397" s="569"/>
      <c r="BU397" s="569"/>
      <c r="BV397" s="569"/>
      <c r="BW397" s="569"/>
      <c r="BX397" s="569"/>
      <c r="BY397" s="569"/>
      <c r="BZ397" s="569"/>
      <c r="CA397" s="569"/>
      <c r="CB397" s="569"/>
      <c r="CC397" s="569"/>
    </row>
    <row r="398" spans="1:81" s="549" customFormat="1" ht="12.75" customHeight="1">
      <c r="A398" s="535"/>
      <c r="B398" s="14"/>
      <c r="C398" s="730"/>
      <c r="D398" s="14"/>
      <c r="E398" s="690"/>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L398" s="731"/>
      <c r="AM398" s="569"/>
      <c r="AN398" s="596"/>
      <c r="BS398" s="569"/>
      <c r="BT398" s="569"/>
      <c r="BU398" s="569"/>
      <c r="BV398" s="569"/>
      <c r="BW398" s="569"/>
      <c r="BX398" s="569"/>
      <c r="BY398" s="569"/>
      <c r="BZ398" s="569"/>
      <c r="CA398" s="569"/>
      <c r="CB398" s="569"/>
      <c r="CC398" s="569"/>
    </row>
    <row r="399" spans="1:81" s="549" customFormat="1" ht="12.75" customHeight="1">
      <c r="A399" s="535"/>
      <c r="B399" s="14"/>
      <c r="C399" s="2529" t="s">
        <v>546</v>
      </c>
      <c r="D399" s="2486"/>
      <c r="E399" s="690"/>
      <c r="F399" s="737" t="s">
        <v>1469</v>
      </c>
      <c r="G399" s="572"/>
      <c r="H399" s="572"/>
      <c r="I399" s="572"/>
      <c r="J399" s="572"/>
      <c r="K399" s="572"/>
      <c r="L399" s="572"/>
      <c r="M399" s="572"/>
      <c r="N399" s="572"/>
      <c r="O399" s="572"/>
      <c r="P399" s="572"/>
      <c r="Q399" s="572"/>
      <c r="R399" s="572"/>
      <c r="S399" s="572"/>
      <c r="T399" s="572"/>
      <c r="U399" s="572"/>
      <c r="V399" s="572"/>
      <c r="W399" s="572"/>
      <c r="X399" s="572"/>
      <c r="Y399" s="572"/>
      <c r="Z399" s="572"/>
      <c r="AA399" s="572"/>
      <c r="AB399" s="572"/>
      <c r="AC399" s="572"/>
      <c r="AD399" s="572"/>
      <c r="AF399" s="2530" t="s">
        <v>1463</v>
      </c>
      <c r="AG399" s="2530"/>
      <c r="AH399" s="2530"/>
      <c r="AI399" s="2530"/>
      <c r="AJ399" s="2530"/>
      <c r="AK399" s="2530"/>
      <c r="AL399" s="2531"/>
      <c r="AM399" s="569"/>
      <c r="AN399" s="596"/>
      <c r="BS399" s="569"/>
      <c r="BT399" s="569"/>
      <c r="BU399" s="569"/>
    </row>
    <row r="400" spans="1:81" s="549" customFormat="1" ht="12.75" customHeight="1">
      <c r="A400" s="535"/>
      <c r="B400" s="14"/>
      <c r="C400" s="738"/>
      <c r="E400" s="690"/>
      <c r="G400" s="572"/>
      <c r="H400" s="572"/>
      <c r="I400" s="572"/>
      <c r="J400" s="572"/>
      <c r="K400" s="572"/>
      <c r="L400" s="572"/>
      <c r="M400" s="572"/>
      <c r="N400" s="572"/>
      <c r="O400" s="572"/>
      <c r="P400" s="572"/>
      <c r="Q400" s="572"/>
      <c r="R400" s="572"/>
      <c r="S400" s="572"/>
      <c r="T400" s="572"/>
      <c r="U400" s="572"/>
      <c r="V400" s="572"/>
      <c r="W400" s="572"/>
      <c r="X400" s="572"/>
      <c r="Y400" s="572"/>
      <c r="Z400" s="572"/>
      <c r="AA400" s="572"/>
      <c r="AB400" s="572"/>
      <c r="AC400" s="572"/>
      <c r="AD400" s="572"/>
      <c r="AL400" s="731"/>
      <c r="AM400" s="569"/>
      <c r="AN400" s="596"/>
      <c r="BS400" s="569"/>
      <c r="BT400" s="569"/>
      <c r="BU400" s="569"/>
    </row>
    <row r="401" spans="1:81" s="549" customFormat="1" ht="12.75" customHeight="1">
      <c r="A401" s="535"/>
      <c r="B401" s="14"/>
      <c r="C401" s="739"/>
      <c r="D401" s="732"/>
      <c r="E401" s="733"/>
      <c r="F401" s="740" t="s">
        <v>1470</v>
      </c>
      <c r="G401" s="734"/>
      <c r="H401" s="734"/>
      <c r="I401" s="734"/>
      <c r="J401" s="734"/>
      <c r="K401" s="734"/>
      <c r="L401" s="734"/>
      <c r="M401" s="734"/>
      <c r="N401" s="734"/>
      <c r="O401" s="734"/>
      <c r="P401" s="734"/>
      <c r="Q401" s="734"/>
      <c r="R401" s="734"/>
      <c r="S401" s="734"/>
      <c r="T401" s="734"/>
      <c r="U401" s="734"/>
      <c r="V401" s="734"/>
      <c r="W401" s="734"/>
      <c r="X401" s="734"/>
      <c r="Y401" s="734"/>
      <c r="Z401" s="734"/>
      <c r="AA401" s="734"/>
      <c r="AB401" s="734"/>
      <c r="AC401" s="734"/>
      <c r="AD401" s="734"/>
      <c r="AE401" s="736"/>
      <c r="AF401" s="582"/>
      <c r="AG401" s="736"/>
      <c r="AH401" s="726"/>
      <c r="AI401" s="726"/>
      <c r="AJ401" s="726"/>
      <c r="AK401" s="726"/>
      <c r="AL401" s="741"/>
      <c r="AM401" s="569"/>
      <c r="AN401" s="596"/>
      <c r="BS401" s="569"/>
      <c r="BT401" s="569"/>
      <c r="BU401" s="569"/>
    </row>
    <row r="402" spans="1:81" s="549" customFormat="1" ht="12.75" customHeight="1">
      <c r="A402" s="535"/>
      <c r="B402" s="14"/>
      <c r="C402" s="14"/>
      <c r="D402" s="14"/>
      <c r="E402" s="690"/>
      <c r="F402" s="675"/>
      <c r="G402" s="675"/>
      <c r="H402" s="675"/>
      <c r="I402" s="675"/>
      <c r="J402" s="675"/>
      <c r="K402" s="675"/>
      <c r="L402" s="675"/>
      <c r="M402" s="675"/>
      <c r="N402" s="675"/>
      <c r="O402" s="675"/>
      <c r="P402" s="675"/>
      <c r="Q402" s="675"/>
      <c r="R402" s="675"/>
      <c r="S402" s="675"/>
      <c r="T402" s="675"/>
      <c r="U402" s="675"/>
      <c r="V402" s="675"/>
      <c r="W402" s="675"/>
      <c r="X402" s="675"/>
      <c r="Y402" s="675"/>
      <c r="Z402" s="675"/>
      <c r="AA402" s="675"/>
      <c r="AB402" s="675"/>
      <c r="AC402" s="675"/>
      <c r="AD402" s="675"/>
      <c r="AE402" s="535"/>
      <c r="AF402" s="538"/>
      <c r="AG402" s="535"/>
      <c r="AM402" s="569"/>
      <c r="AN402" s="596"/>
      <c r="BS402" s="569"/>
      <c r="BT402" s="569"/>
      <c r="BU402" s="569"/>
    </row>
    <row r="403" spans="1:81" s="549" customFormat="1" ht="12.75" customHeight="1">
      <c r="A403" s="535"/>
      <c r="B403" s="14"/>
      <c r="C403" s="712"/>
      <c r="D403" s="713"/>
      <c r="E403" s="714" t="s">
        <v>1471</v>
      </c>
      <c r="F403" s="2532" t="s">
        <v>1472</v>
      </c>
      <c r="G403" s="2532"/>
      <c r="H403" s="2532"/>
      <c r="I403" s="2532"/>
      <c r="J403" s="2532"/>
      <c r="K403" s="2532"/>
      <c r="L403" s="2532"/>
      <c r="M403" s="2532"/>
      <c r="N403" s="2532"/>
      <c r="O403" s="2532"/>
      <c r="P403" s="2532"/>
      <c r="Q403" s="2532"/>
      <c r="R403" s="2532"/>
      <c r="S403" s="2532"/>
      <c r="T403" s="2532"/>
      <c r="U403" s="2532"/>
      <c r="V403" s="2532"/>
      <c r="W403" s="2532"/>
      <c r="X403" s="2532"/>
      <c r="Y403" s="2532"/>
      <c r="Z403" s="2532"/>
      <c r="AA403" s="2532"/>
      <c r="AB403" s="2532"/>
      <c r="AC403" s="2532"/>
      <c r="AD403" s="2532"/>
      <c r="AE403" s="2532"/>
      <c r="AF403" s="2532"/>
      <c r="AG403" s="715"/>
      <c r="AH403" s="715"/>
      <c r="AI403" s="715"/>
      <c r="AJ403" s="715"/>
      <c r="AK403" s="715"/>
      <c r="AL403" s="716"/>
      <c r="AM403" s="569"/>
      <c r="AN403" s="596"/>
      <c r="BS403" s="569"/>
      <c r="BT403" s="569"/>
      <c r="BU403" s="569"/>
      <c r="BV403" s="569"/>
      <c r="BW403" s="569"/>
      <c r="BX403" s="569"/>
      <c r="BY403" s="569"/>
      <c r="BZ403" s="569"/>
      <c r="CA403" s="569"/>
      <c r="CB403" s="569"/>
      <c r="CC403" s="569"/>
    </row>
    <row r="404" spans="1:81" s="549" customFormat="1" ht="12.75" customHeight="1">
      <c r="A404" s="535"/>
      <c r="B404" s="14"/>
      <c r="C404" s="730"/>
      <c r="D404" s="14"/>
      <c r="E404" s="690"/>
      <c r="F404" s="2533"/>
      <c r="G404" s="2533"/>
      <c r="H404" s="2533"/>
      <c r="I404" s="2533"/>
      <c r="J404" s="2533"/>
      <c r="K404" s="2533"/>
      <c r="L404" s="2533"/>
      <c r="M404" s="2533"/>
      <c r="N404" s="2533"/>
      <c r="O404" s="2533"/>
      <c r="P404" s="2533"/>
      <c r="Q404" s="2533"/>
      <c r="R404" s="2533"/>
      <c r="S404" s="2533"/>
      <c r="T404" s="2533"/>
      <c r="U404" s="2533"/>
      <c r="V404" s="2533"/>
      <c r="W404" s="2533"/>
      <c r="X404" s="2533"/>
      <c r="Y404" s="2533"/>
      <c r="Z404" s="2533"/>
      <c r="AA404" s="2533"/>
      <c r="AB404" s="2533"/>
      <c r="AC404" s="2533"/>
      <c r="AD404" s="2533"/>
      <c r="AE404" s="2533"/>
      <c r="AF404" s="2533"/>
      <c r="AG404" s="538"/>
      <c r="AH404" s="538"/>
      <c r="AI404" s="538"/>
      <c r="AJ404" s="538"/>
      <c r="AK404" s="538"/>
      <c r="AL404" s="719"/>
      <c r="AM404" s="569"/>
      <c r="AN404" s="596"/>
      <c r="BS404" s="569"/>
      <c r="BT404" s="569"/>
      <c r="BU404" s="569"/>
      <c r="BV404" s="569"/>
      <c r="BW404" s="569"/>
      <c r="BX404" s="569"/>
      <c r="BY404" s="569"/>
      <c r="BZ404" s="569"/>
      <c r="CA404" s="569"/>
      <c r="CB404" s="569"/>
      <c r="CC404" s="569"/>
    </row>
    <row r="405" spans="1:81">
      <c r="A405" s="535"/>
      <c r="C405" s="730"/>
      <c r="E405" s="690"/>
      <c r="F405" s="2533"/>
      <c r="G405" s="2533"/>
      <c r="H405" s="2533"/>
      <c r="I405" s="2533"/>
      <c r="J405" s="2533"/>
      <c r="K405" s="2533"/>
      <c r="L405" s="2533"/>
      <c r="M405" s="2533"/>
      <c r="N405" s="2533"/>
      <c r="O405" s="2533"/>
      <c r="P405" s="2533"/>
      <c r="Q405" s="2533"/>
      <c r="R405" s="2533"/>
      <c r="S405" s="2533"/>
      <c r="T405" s="2533"/>
      <c r="U405" s="2533"/>
      <c r="V405" s="2533"/>
      <c r="W405" s="2533"/>
      <c r="X405" s="2533"/>
      <c r="Y405" s="2533"/>
      <c r="Z405" s="2533"/>
      <c r="AA405" s="2533"/>
      <c r="AB405" s="2533"/>
      <c r="AC405" s="2533"/>
      <c r="AD405" s="2533"/>
      <c r="AE405" s="2533"/>
      <c r="AF405" s="2533"/>
      <c r="AG405" s="538"/>
      <c r="AH405" s="538"/>
      <c r="AI405" s="538"/>
      <c r="AJ405" s="538"/>
      <c r="AK405" s="538"/>
      <c r="AL405" s="719"/>
      <c r="AM405" s="569"/>
      <c r="BS405" s="569"/>
      <c r="BT405" s="569"/>
      <c r="BU405" s="569"/>
      <c r="BV405" s="569"/>
      <c r="BW405" s="569"/>
      <c r="BX405" s="569"/>
      <c r="BY405" s="569"/>
      <c r="BZ405" s="569"/>
      <c r="CA405" s="569"/>
      <c r="CB405" s="569"/>
      <c r="CC405" s="569"/>
    </row>
    <row r="406" spans="1:81" s="549" customFormat="1" ht="12.75" customHeight="1">
      <c r="A406" s="535"/>
      <c r="B406" s="14"/>
      <c r="C406" s="730"/>
      <c r="D406" s="14"/>
      <c r="E406" s="690"/>
      <c r="F406" s="2533"/>
      <c r="G406" s="2533"/>
      <c r="H406" s="2533"/>
      <c r="I406" s="2533"/>
      <c r="J406" s="2533"/>
      <c r="K406" s="2533"/>
      <c r="L406" s="2533"/>
      <c r="M406" s="2533"/>
      <c r="N406" s="2533"/>
      <c r="O406" s="2533"/>
      <c r="P406" s="2533"/>
      <c r="Q406" s="2533"/>
      <c r="R406" s="2533"/>
      <c r="S406" s="2533"/>
      <c r="T406" s="2533"/>
      <c r="U406" s="2533"/>
      <c r="V406" s="2533"/>
      <c r="W406" s="2533"/>
      <c r="X406" s="2533"/>
      <c r="Y406" s="2533"/>
      <c r="Z406" s="2533"/>
      <c r="AA406" s="2533"/>
      <c r="AB406" s="2533"/>
      <c r="AC406" s="2533"/>
      <c r="AD406" s="2533"/>
      <c r="AE406" s="2533"/>
      <c r="AF406" s="2533"/>
      <c r="AG406" s="538"/>
      <c r="AH406" s="538"/>
      <c r="AI406" s="538"/>
      <c r="AJ406" s="538"/>
      <c r="AK406" s="538"/>
      <c r="AL406" s="719"/>
      <c r="AM406" s="569"/>
      <c r="AN406" s="596"/>
      <c r="BS406" s="569"/>
      <c r="BT406" s="569"/>
      <c r="BY406" s="569"/>
      <c r="BZ406" s="569"/>
      <c r="CA406" s="569"/>
      <c r="CB406" s="569"/>
      <c r="CC406" s="569"/>
    </row>
    <row r="407" spans="1:81" s="549" customFormat="1" ht="12.75" customHeight="1">
      <c r="A407" s="535"/>
      <c r="B407" s="14"/>
      <c r="C407" s="2529" t="s">
        <v>592</v>
      </c>
      <c r="D407" s="2486"/>
      <c r="E407" s="690"/>
      <c r="F407" s="720" t="s">
        <v>1473</v>
      </c>
      <c r="G407" s="602"/>
      <c r="H407" s="602"/>
      <c r="I407" s="602"/>
      <c r="J407" s="602"/>
      <c r="K407" s="602"/>
      <c r="L407" s="602"/>
      <c r="M407" s="602"/>
      <c r="N407" s="602"/>
      <c r="O407" s="602"/>
      <c r="P407" s="602"/>
      <c r="Q407" s="602"/>
      <c r="R407" s="602"/>
      <c r="S407" s="602"/>
      <c r="T407" s="602"/>
      <c r="U407" s="602"/>
      <c r="V407" s="602"/>
      <c r="W407" s="602"/>
      <c r="X407" s="602"/>
      <c r="Y407" s="602"/>
      <c r="Z407" s="602"/>
      <c r="AA407" s="602"/>
      <c r="AB407" s="602"/>
      <c r="AC407" s="602"/>
      <c r="AD407" s="602"/>
      <c r="AF407" s="2530" t="s">
        <v>1463</v>
      </c>
      <c r="AG407" s="2530"/>
      <c r="AH407" s="2530"/>
      <c r="AI407" s="2530"/>
      <c r="AJ407" s="2530"/>
      <c r="AK407" s="2530"/>
      <c r="AL407" s="2531"/>
      <c r="AM407" s="569"/>
      <c r="AN407" s="596"/>
      <c r="BS407" s="569"/>
      <c r="BT407" s="569"/>
      <c r="BY407" s="569"/>
      <c r="BZ407" s="569"/>
      <c r="CA407" s="569"/>
      <c r="CB407" s="569"/>
      <c r="CC407" s="569"/>
    </row>
    <row r="408" spans="1:81" s="549" customFormat="1" ht="12.75" customHeight="1">
      <c r="A408" s="535"/>
      <c r="B408" s="14"/>
      <c r="C408" s="730"/>
      <c r="D408" s="14"/>
      <c r="E408" s="690"/>
      <c r="G408" s="602"/>
      <c r="H408" s="602"/>
      <c r="I408" s="602"/>
      <c r="J408" s="602"/>
      <c r="K408" s="602"/>
      <c r="L408" s="602"/>
      <c r="M408" s="602"/>
      <c r="N408" s="602"/>
      <c r="O408" s="602"/>
      <c r="P408" s="602"/>
      <c r="Q408" s="602"/>
      <c r="R408" s="602"/>
      <c r="S408" s="602"/>
      <c r="T408" s="602"/>
      <c r="U408" s="602"/>
      <c r="V408" s="602"/>
      <c r="W408" s="602"/>
      <c r="X408" s="602"/>
      <c r="Y408" s="602"/>
      <c r="Z408" s="602"/>
      <c r="AA408" s="602"/>
      <c r="AB408" s="602"/>
      <c r="AC408" s="602"/>
      <c r="AD408" s="602"/>
      <c r="AL408" s="731"/>
      <c r="AM408" s="569"/>
      <c r="AN408" s="596"/>
      <c r="BS408" s="569"/>
      <c r="BT408" s="569"/>
      <c r="BY408" s="569"/>
      <c r="BZ408" s="569"/>
      <c r="CA408" s="569"/>
      <c r="CB408" s="569"/>
      <c r="CC408" s="569"/>
    </row>
    <row r="409" spans="1:81" s="549" customFormat="1" ht="12.75" customHeight="1">
      <c r="A409" s="535"/>
      <c r="B409" s="14"/>
      <c r="C409" s="2529" t="s">
        <v>592</v>
      </c>
      <c r="D409" s="2486"/>
      <c r="E409" s="718"/>
      <c r="F409" s="720" t="s">
        <v>1474</v>
      </c>
      <c r="G409" s="602"/>
      <c r="H409" s="602"/>
      <c r="I409" s="602"/>
      <c r="J409" s="602"/>
      <c r="K409" s="602"/>
      <c r="L409" s="602"/>
      <c r="M409" s="602"/>
      <c r="N409" s="602"/>
      <c r="O409" s="602"/>
      <c r="P409" s="602"/>
      <c r="Q409" s="602"/>
      <c r="R409" s="602"/>
      <c r="S409" s="602"/>
      <c r="T409" s="602"/>
      <c r="U409" s="602"/>
      <c r="V409" s="602"/>
      <c r="W409" s="602"/>
      <c r="X409" s="602"/>
      <c r="Y409" s="602"/>
      <c r="Z409" s="602"/>
      <c r="AA409" s="602"/>
      <c r="AB409" s="602"/>
      <c r="AC409" s="602"/>
      <c r="AD409" s="602"/>
      <c r="AF409" s="2530" t="s">
        <v>1475</v>
      </c>
      <c r="AG409" s="2530"/>
      <c r="AH409" s="2530"/>
      <c r="AI409" s="2530"/>
      <c r="AJ409" s="2530"/>
      <c r="AK409" s="2530"/>
      <c r="AL409" s="2531"/>
      <c r="AM409" s="569"/>
      <c r="AN409" s="596"/>
      <c r="BS409" s="569"/>
      <c r="BT409" s="569"/>
      <c r="BY409" s="569"/>
      <c r="BZ409" s="569"/>
      <c r="CA409" s="569"/>
      <c r="CB409" s="569"/>
      <c r="CC409" s="569"/>
    </row>
    <row r="410" spans="1:81" s="549" customFormat="1" ht="12.75" customHeight="1">
      <c r="A410" s="535"/>
      <c r="B410" s="14"/>
      <c r="C410" s="742"/>
      <c r="D410" s="726"/>
      <c r="E410" s="723"/>
      <c r="F410" s="726"/>
      <c r="G410" s="725"/>
      <c r="H410" s="725"/>
      <c r="I410" s="725"/>
      <c r="J410" s="725"/>
      <c r="K410" s="725"/>
      <c r="L410" s="725"/>
      <c r="M410" s="725"/>
      <c r="N410" s="725"/>
      <c r="O410" s="725"/>
      <c r="P410" s="725"/>
      <c r="Q410" s="725"/>
      <c r="R410" s="725"/>
      <c r="S410" s="725"/>
      <c r="T410" s="725"/>
      <c r="U410" s="725"/>
      <c r="V410" s="725"/>
      <c r="W410" s="725"/>
      <c r="X410" s="725"/>
      <c r="Y410" s="725"/>
      <c r="Z410" s="725"/>
      <c r="AA410" s="725"/>
      <c r="AB410" s="725"/>
      <c r="AC410" s="725"/>
      <c r="AD410" s="725"/>
      <c r="AE410" s="726"/>
      <c r="AF410" s="726"/>
      <c r="AG410" s="726"/>
      <c r="AH410" s="726"/>
      <c r="AI410" s="726"/>
      <c r="AJ410" s="726"/>
      <c r="AK410" s="726"/>
      <c r="AL410" s="741"/>
      <c r="AM410" s="569"/>
      <c r="AN410" s="596"/>
      <c r="BS410" s="569"/>
      <c r="BT410" s="569"/>
      <c r="BY410" s="569"/>
      <c r="BZ410" s="569"/>
      <c r="CA410" s="569"/>
      <c r="CB410" s="569"/>
      <c r="CC410" s="569"/>
    </row>
    <row r="411" spans="1:81" s="549" customFormat="1" ht="12.75" customHeight="1">
      <c r="A411" s="535"/>
      <c r="B411" s="14"/>
      <c r="C411" s="14"/>
      <c r="D411" s="14"/>
      <c r="E411" s="690"/>
      <c r="G411" s="602"/>
      <c r="H411" s="602"/>
      <c r="I411" s="602"/>
      <c r="J411" s="602"/>
      <c r="K411" s="602"/>
      <c r="L411" s="602"/>
      <c r="M411" s="602"/>
      <c r="N411" s="602"/>
      <c r="O411" s="602"/>
      <c r="P411" s="602"/>
      <c r="Q411" s="602"/>
      <c r="R411" s="602"/>
      <c r="S411" s="602"/>
      <c r="T411" s="602"/>
      <c r="U411" s="602"/>
      <c r="V411" s="602"/>
      <c r="W411" s="602"/>
      <c r="X411" s="602"/>
      <c r="Y411" s="602"/>
      <c r="Z411" s="602"/>
      <c r="AA411" s="602"/>
      <c r="AB411" s="602"/>
      <c r="AC411" s="602"/>
      <c r="AD411" s="602"/>
      <c r="AE411" s="535"/>
      <c r="AF411" s="538"/>
      <c r="AG411" s="535"/>
      <c r="AM411" s="569"/>
      <c r="AN411" s="596"/>
      <c r="BS411" s="569"/>
      <c r="BT411" s="569"/>
      <c r="BY411" s="569"/>
      <c r="BZ411" s="569"/>
      <c r="CA411" s="569"/>
      <c r="CB411" s="569"/>
      <c r="CC411" s="569"/>
    </row>
    <row r="412" spans="1:81" s="549" customFormat="1" ht="12.75" customHeight="1">
      <c r="A412" s="535"/>
      <c r="B412" s="14"/>
      <c r="C412" s="2529" t="s">
        <v>592</v>
      </c>
      <c r="D412" s="2486"/>
      <c r="E412" s="714" t="s">
        <v>1476</v>
      </c>
      <c r="F412" s="2532" t="s">
        <v>1477</v>
      </c>
      <c r="G412" s="2532"/>
      <c r="H412" s="2532"/>
      <c r="I412" s="2532"/>
      <c r="J412" s="2532"/>
      <c r="K412" s="2532"/>
      <c r="L412" s="2532"/>
      <c r="M412" s="2532"/>
      <c r="N412" s="2532"/>
      <c r="O412" s="2532"/>
      <c r="P412" s="2532"/>
      <c r="Q412" s="2532"/>
      <c r="R412" s="2532"/>
      <c r="S412" s="2532"/>
      <c r="T412" s="2532"/>
      <c r="U412" s="2532"/>
      <c r="V412" s="2532"/>
      <c r="W412" s="2532"/>
      <c r="X412" s="2532"/>
      <c r="Y412" s="2532"/>
      <c r="Z412" s="2532"/>
      <c r="AA412" s="2532"/>
      <c r="AB412" s="2532"/>
      <c r="AC412" s="2532"/>
      <c r="AD412" s="2532"/>
      <c r="AE412" s="2532"/>
      <c r="AF412" s="715"/>
      <c r="AG412" s="743"/>
      <c r="AH412" s="713"/>
      <c r="AI412" s="713"/>
      <c r="AJ412" s="713"/>
      <c r="AK412" s="713"/>
      <c r="AL412" s="744"/>
      <c r="AM412" s="569"/>
      <c r="AN412" s="596"/>
      <c r="BS412" s="569"/>
      <c r="BT412" s="569"/>
      <c r="BY412" s="569"/>
      <c r="BZ412" s="569"/>
      <c r="CA412" s="569"/>
      <c r="CB412" s="569"/>
      <c r="CC412" s="569"/>
    </row>
    <row r="413" spans="1:81" s="549" customFormat="1" ht="12.75" customHeight="1">
      <c r="A413" s="535"/>
      <c r="B413" s="14"/>
      <c r="C413" s="738"/>
      <c r="F413" s="2533"/>
      <c r="G413" s="2533"/>
      <c r="H413" s="2533"/>
      <c r="I413" s="2533"/>
      <c r="J413" s="2533"/>
      <c r="K413" s="2533"/>
      <c r="L413" s="2533"/>
      <c r="M413" s="2533"/>
      <c r="N413" s="2533"/>
      <c r="O413" s="2533"/>
      <c r="P413" s="2533"/>
      <c r="Q413" s="2533"/>
      <c r="R413" s="2533"/>
      <c r="S413" s="2533"/>
      <c r="T413" s="2533"/>
      <c r="U413" s="2533"/>
      <c r="V413" s="2533"/>
      <c r="W413" s="2533"/>
      <c r="X413" s="2533"/>
      <c r="Y413" s="2533"/>
      <c r="Z413" s="2533"/>
      <c r="AA413" s="2533"/>
      <c r="AB413" s="2533"/>
      <c r="AC413" s="2533"/>
      <c r="AD413" s="2533"/>
      <c r="AE413" s="2533"/>
      <c r="AF413" s="2454" t="s">
        <v>1463</v>
      </c>
      <c r="AG413" s="2454"/>
      <c r="AH413" s="2454"/>
      <c r="AI413" s="2454"/>
      <c r="AJ413" s="2454"/>
      <c r="AK413" s="2454"/>
      <c r="AL413" s="2534"/>
      <c r="AM413" s="569"/>
      <c r="AN413" s="596"/>
      <c r="BS413" s="569"/>
      <c r="BT413" s="569"/>
      <c r="BY413" s="569"/>
      <c r="BZ413" s="569"/>
      <c r="CA413" s="569"/>
      <c r="CB413" s="569"/>
      <c r="CC413" s="569"/>
    </row>
    <row r="414" spans="1:81" s="549" customFormat="1" ht="12.75" customHeight="1">
      <c r="A414" s="535"/>
      <c r="B414" s="14"/>
      <c r="C414" s="730"/>
      <c r="D414" s="14"/>
      <c r="E414" s="690"/>
      <c r="F414" s="2533"/>
      <c r="G414" s="2533"/>
      <c r="H414" s="2533"/>
      <c r="I414" s="2533"/>
      <c r="J414" s="2533"/>
      <c r="K414" s="2533"/>
      <c r="L414" s="2533"/>
      <c r="M414" s="2533"/>
      <c r="N414" s="2533"/>
      <c r="O414" s="2533"/>
      <c r="P414" s="2533"/>
      <c r="Q414" s="2533"/>
      <c r="R414" s="2533"/>
      <c r="S414" s="2533"/>
      <c r="T414" s="2533"/>
      <c r="U414" s="2533"/>
      <c r="V414" s="2533"/>
      <c r="W414" s="2533"/>
      <c r="X414" s="2533"/>
      <c r="Y414" s="2533"/>
      <c r="Z414" s="2533"/>
      <c r="AA414" s="2533"/>
      <c r="AB414" s="2533"/>
      <c r="AC414" s="2533"/>
      <c r="AD414" s="2533"/>
      <c r="AE414" s="2533"/>
      <c r="AL414" s="731"/>
      <c r="AM414" s="569"/>
      <c r="AN414" s="596"/>
      <c r="BS414" s="569"/>
      <c r="BT414" s="569"/>
      <c r="BU414" s="569"/>
      <c r="BV414" s="569"/>
      <c r="BW414" s="569"/>
      <c r="BX414" s="569"/>
      <c r="BY414" s="569"/>
      <c r="BZ414" s="569"/>
      <c r="CA414" s="569"/>
      <c r="CB414" s="569"/>
      <c r="CC414" s="569"/>
    </row>
    <row r="415" spans="1:81" s="549" customFormat="1" ht="12.75" customHeight="1">
      <c r="A415" s="535"/>
      <c r="B415" s="14"/>
      <c r="C415" s="739"/>
      <c r="D415" s="732"/>
      <c r="E415" s="733"/>
      <c r="F415" s="2552"/>
      <c r="G415" s="2552"/>
      <c r="H415" s="2552"/>
      <c r="I415" s="2552"/>
      <c r="J415" s="2552"/>
      <c r="K415" s="2552"/>
      <c r="L415" s="2552"/>
      <c r="M415" s="2552"/>
      <c r="N415" s="2552"/>
      <c r="O415" s="2552"/>
      <c r="P415" s="2552"/>
      <c r="Q415" s="2552"/>
      <c r="R415" s="2552"/>
      <c r="S415" s="2552"/>
      <c r="T415" s="2552"/>
      <c r="U415" s="2552"/>
      <c r="V415" s="2552"/>
      <c r="W415" s="2552"/>
      <c r="X415" s="2552"/>
      <c r="Y415" s="2552"/>
      <c r="Z415" s="2552"/>
      <c r="AA415" s="2552"/>
      <c r="AB415" s="2552"/>
      <c r="AC415" s="2552"/>
      <c r="AD415" s="2552"/>
      <c r="AE415" s="2552"/>
      <c r="AF415" s="582"/>
      <c r="AG415" s="736"/>
      <c r="AH415" s="726"/>
      <c r="AI415" s="726"/>
      <c r="AJ415" s="726"/>
      <c r="AK415" s="726"/>
      <c r="AL415" s="741"/>
      <c r="AM415" s="569"/>
      <c r="AN415" s="596"/>
    </row>
    <row r="416" spans="1:81">
      <c r="A416" s="535"/>
      <c r="E416" s="690"/>
      <c r="F416" s="602"/>
      <c r="G416" s="602"/>
      <c r="H416" s="602"/>
      <c r="I416" s="602"/>
      <c r="J416" s="602"/>
      <c r="K416" s="602"/>
      <c r="L416" s="602"/>
      <c r="M416" s="602"/>
      <c r="N416" s="602"/>
      <c r="O416" s="602"/>
      <c r="P416" s="602"/>
      <c r="Q416" s="602"/>
      <c r="R416" s="602"/>
      <c r="S416" s="602"/>
      <c r="T416" s="602"/>
      <c r="U416" s="602"/>
      <c r="V416" s="602"/>
      <c r="W416" s="602"/>
      <c r="X416" s="602"/>
      <c r="Y416" s="602"/>
      <c r="Z416" s="602"/>
      <c r="AA416" s="602"/>
      <c r="AB416" s="602"/>
      <c r="AC416" s="602"/>
      <c r="AD416" s="602"/>
      <c r="AE416" s="535"/>
      <c r="AF416" s="538"/>
      <c r="AG416" s="535"/>
      <c r="AH416" s="549"/>
      <c r="AI416" s="549"/>
      <c r="AJ416" s="549"/>
      <c r="AK416" s="549"/>
      <c r="AL416" s="549"/>
      <c r="AM416" s="569"/>
    </row>
    <row r="417" spans="1:55" ht="12.75" customHeight="1">
      <c r="A417" s="535"/>
      <c r="C417" s="745"/>
      <c r="D417" s="746"/>
      <c r="E417" s="714" t="s">
        <v>1478</v>
      </c>
      <c r="F417" s="2532" t="s">
        <v>1479</v>
      </c>
      <c r="G417" s="2532"/>
      <c r="H417" s="2532"/>
      <c r="I417" s="2532"/>
      <c r="J417" s="2532"/>
      <c r="K417" s="2532"/>
      <c r="L417" s="2532"/>
      <c r="M417" s="2532"/>
      <c r="N417" s="2532"/>
      <c r="O417" s="2532"/>
      <c r="P417" s="2532"/>
      <c r="Q417" s="2532"/>
      <c r="R417" s="2532"/>
      <c r="S417" s="2532"/>
      <c r="T417" s="2532"/>
      <c r="U417" s="2532"/>
      <c r="V417" s="2532"/>
      <c r="W417" s="2532"/>
      <c r="X417" s="2532"/>
      <c r="Y417" s="2532"/>
      <c r="Z417" s="2532"/>
      <c r="AA417" s="2532"/>
      <c r="AB417" s="2532"/>
      <c r="AC417" s="2532"/>
      <c r="AD417" s="2532"/>
      <c r="AE417" s="2532"/>
      <c r="AF417" s="746"/>
      <c r="AG417" s="746"/>
      <c r="AH417" s="746"/>
      <c r="AI417" s="746"/>
      <c r="AJ417" s="746"/>
      <c r="AK417" s="746"/>
      <c r="AL417" s="747"/>
      <c r="AM417" s="569"/>
    </row>
    <row r="418" spans="1:55">
      <c r="A418" s="535"/>
      <c r="C418" s="730"/>
      <c r="E418" s="690"/>
      <c r="F418" s="2533"/>
      <c r="G418" s="2533"/>
      <c r="H418" s="2533"/>
      <c r="I418" s="2533"/>
      <c r="J418" s="2533"/>
      <c r="K418" s="2533"/>
      <c r="L418" s="2533"/>
      <c r="M418" s="2533"/>
      <c r="N418" s="2533"/>
      <c r="O418" s="2533"/>
      <c r="P418" s="2533"/>
      <c r="Q418" s="2533"/>
      <c r="R418" s="2533"/>
      <c r="S418" s="2533"/>
      <c r="T418" s="2533"/>
      <c r="U418" s="2533"/>
      <c r="V418" s="2533"/>
      <c r="W418" s="2533"/>
      <c r="X418" s="2533"/>
      <c r="Y418" s="2533"/>
      <c r="Z418" s="2533"/>
      <c r="AA418" s="2533"/>
      <c r="AB418" s="2533"/>
      <c r="AC418" s="2533"/>
      <c r="AD418" s="2533"/>
      <c r="AE418" s="2533"/>
      <c r="AF418" s="538"/>
      <c r="AG418" s="535"/>
      <c r="AH418" s="549"/>
      <c r="AI418" s="549"/>
      <c r="AJ418" s="549"/>
      <c r="AK418" s="549"/>
      <c r="AL418" s="731"/>
      <c r="AM418" s="569"/>
    </row>
    <row r="419" spans="1:55" s="549" customFormat="1" ht="12.75" customHeight="1">
      <c r="A419" s="535"/>
      <c r="B419" s="14"/>
      <c r="C419" s="730"/>
      <c r="D419" s="14"/>
      <c r="E419" s="690"/>
      <c r="F419" s="2533"/>
      <c r="G419" s="2533"/>
      <c r="H419" s="2533"/>
      <c r="I419" s="2533"/>
      <c r="J419" s="2533"/>
      <c r="K419" s="2533"/>
      <c r="L419" s="2533"/>
      <c r="M419" s="2533"/>
      <c r="N419" s="2533"/>
      <c r="O419" s="2533"/>
      <c r="P419" s="2533"/>
      <c r="Q419" s="2533"/>
      <c r="R419" s="2533"/>
      <c r="S419" s="2533"/>
      <c r="T419" s="2533"/>
      <c r="U419" s="2533"/>
      <c r="V419" s="2533"/>
      <c r="W419" s="2533"/>
      <c r="X419" s="2533"/>
      <c r="Y419" s="2533"/>
      <c r="Z419" s="2533"/>
      <c r="AA419" s="2533"/>
      <c r="AB419" s="2533"/>
      <c r="AC419" s="2533"/>
      <c r="AD419" s="2533"/>
      <c r="AE419" s="2533"/>
      <c r="AL419" s="731"/>
      <c r="AM419" s="569"/>
      <c r="AN419" s="596"/>
    </row>
    <row r="420" spans="1:55" s="549" customFormat="1" ht="12.75" customHeight="1">
      <c r="A420" s="535"/>
      <c r="B420" s="14"/>
      <c r="C420" s="738"/>
      <c r="F420" s="2533"/>
      <c r="G420" s="2533"/>
      <c r="H420" s="2533"/>
      <c r="I420" s="2533"/>
      <c r="J420" s="2533"/>
      <c r="K420" s="2533"/>
      <c r="L420" s="2533"/>
      <c r="M420" s="2533"/>
      <c r="N420" s="2533"/>
      <c r="O420" s="2533"/>
      <c r="P420" s="2533"/>
      <c r="Q420" s="2533"/>
      <c r="R420" s="2533"/>
      <c r="S420" s="2533"/>
      <c r="T420" s="2533"/>
      <c r="U420" s="2533"/>
      <c r="V420" s="2533"/>
      <c r="W420" s="2533"/>
      <c r="X420" s="2533"/>
      <c r="Y420" s="2533"/>
      <c r="Z420" s="2533"/>
      <c r="AA420" s="2533"/>
      <c r="AB420" s="2533"/>
      <c r="AC420" s="2533"/>
      <c r="AD420" s="2533"/>
      <c r="AE420" s="2533"/>
      <c r="AL420" s="731"/>
      <c r="AM420" s="569"/>
      <c r="AN420" s="596"/>
    </row>
    <row r="421" spans="1:55" s="549" customFormat="1" ht="12.75" customHeight="1">
      <c r="A421" s="535"/>
      <c r="B421" s="14"/>
      <c r="C421" s="2529" t="s">
        <v>592</v>
      </c>
      <c r="D421" s="2486"/>
      <c r="E421" s="690"/>
      <c r="F421" s="720" t="s">
        <v>1480</v>
      </c>
      <c r="G421" s="602"/>
      <c r="H421" s="602"/>
      <c r="I421" s="602"/>
      <c r="J421" s="602"/>
      <c r="K421" s="602"/>
      <c r="L421" s="602"/>
      <c r="M421" s="602"/>
      <c r="N421" s="602"/>
      <c r="O421" s="602"/>
      <c r="P421" s="602"/>
      <c r="Q421" s="602"/>
      <c r="R421" s="602"/>
      <c r="S421" s="602"/>
      <c r="T421" s="602"/>
      <c r="U421" s="602"/>
      <c r="V421" s="602"/>
      <c r="W421" s="602"/>
      <c r="X421" s="602"/>
      <c r="Y421" s="602"/>
      <c r="Z421" s="602"/>
      <c r="AA421" s="602"/>
      <c r="AB421" s="602"/>
      <c r="AC421" s="602"/>
      <c r="AD421" s="602"/>
      <c r="AF421" s="2454" t="s">
        <v>1463</v>
      </c>
      <c r="AG421" s="2454"/>
      <c r="AH421" s="2454"/>
      <c r="AI421" s="2454"/>
      <c r="AJ421" s="2454"/>
      <c r="AK421" s="2454"/>
      <c r="AL421" s="2534"/>
      <c r="AM421" s="569"/>
      <c r="AN421" s="596"/>
    </row>
    <row r="422" spans="1:55" s="549" customFormat="1" ht="12.75" customHeight="1">
      <c r="A422" s="535"/>
      <c r="B422" s="14"/>
      <c r="C422" s="738"/>
      <c r="AL422" s="731"/>
      <c r="AM422" s="569"/>
      <c r="AN422" s="596"/>
    </row>
    <row r="423" spans="1:55" s="549" customFormat="1" ht="12.75" customHeight="1">
      <c r="A423" s="535"/>
      <c r="B423" s="14"/>
      <c r="C423" s="2529" t="s">
        <v>592</v>
      </c>
      <c r="D423" s="2486"/>
      <c r="E423" s="718"/>
      <c r="F423" s="720" t="s">
        <v>1481</v>
      </c>
      <c r="G423" s="602"/>
      <c r="H423" s="602"/>
      <c r="I423" s="602"/>
      <c r="J423" s="602"/>
      <c r="K423" s="602"/>
      <c r="L423" s="602"/>
      <c r="M423" s="602"/>
      <c r="N423" s="602"/>
      <c r="O423" s="602"/>
      <c r="P423" s="602"/>
      <c r="Q423" s="602"/>
      <c r="R423" s="602"/>
      <c r="S423" s="602"/>
      <c r="T423" s="602"/>
      <c r="U423" s="602"/>
      <c r="V423" s="602"/>
      <c r="W423" s="602"/>
      <c r="X423" s="602"/>
      <c r="Y423" s="602"/>
      <c r="Z423" s="602"/>
      <c r="AA423" s="602"/>
      <c r="AB423" s="602"/>
      <c r="AC423" s="602"/>
      <c r="AD423" s="602"/>
      <c r="AF423" s="2454" t="s">
        <v>1475</v>
      </c>
      <c r="AG423" s="2454"/>
      <c r="AH423" s="2454"/>
      <c r="AI423" s="2454"/>
      <c r="AJ423" s="2454"/>
      <c r="AK423" s="2454"/>
      <c r="AL423" s="2534"/>
      <c r="AM423" s="569"/>
      <c r="AN423" s="596"/>
      <c r="AO423" s="595"/>
      <c r="AP423" s="595"/>
      <c r="BC423" s="14"/>
    </row>
    <row r="424" spans="1:55" s="549" customFormat="1" ht="12.75" customHeight="1">
      <c r="A424" s="535"/>
      <c r="B424" s="14"/>
      <c r="C424" s="732"/>
      <c r="D424" s="732"/>
      <c r="E424" s="733"/>
      <c r="F424" s="724"/>
      <c r="G424" s="725"/>
      <c r="H424" s="725"/>
      <c r="I424" s="725"/>
      <c r="J424" s="725"/>
      <c r="K424" s="725"/>
      <c r="L424" s="725"/>
      <c r="M424" s="725"/>
      <c r="N424" s="725"/>
      <c r="O424" s="725"/>
      <c r="P424" s="725"/>
      <c r="Q424" s="725"/>
      <c r="R424" s="725"/>
      <c r="S424" s="725"/>
      <c r="T424" s="725"/>
      <c r="U424" s="725"/>
      <c r="V424" s="725"/>
      <c r="W424" s="725"/>
      <c r="X424" s="725"/>
      <c r="Y424" s="725"/>
      <c r="Z424" s="725"/>
      <c r="AA424" s="725"/>
      <c r="AB424" s="725"/>
      <c r="AC424" s="725"/>
      <c r="AD424" s="725"/>
      <c r="AE424" s="736"/>
      <c r="AF424" s="582"/>
      <c r="AG424" s="736"/>
      <c r="AH424" s="726"/>
      <c r="AI424" s="726"/>
      <c r="AJ424" s="726"/>
      <c r="AK424" s="726"/>
      <c r="AL424" s="741"/>
      <c r="AM424" s="569"/>
      <c r="AN424" s="596"/>
    </row>
    <row r="425" spans="1:55" s="549" customFormat="1" ht="12.75" customHeight="1">
      <c r="A425" s="535"/>
      <c r="B425" s="14"/>
      <c r="C425" s="14"/>
      <c r="D425" s="14"/>
      <c r="E425" s="690"/>
      <c r="F425" s="720"/>
      <c r="G425" s="602"/>
      <c r="H425" s="602"/>
      <c r="I425" s="602"/>
      <c r="J425" s="602"/>
      <c r="K425" s="602"/>
      <c r="L425" s="602"/>
      <c r="M425" s="602"/>
      <c r="N425" s="602"/>
      <c r="O425" s="602"/>
      <c r="P425" s="602"/>
      <c r="Q425" s="602"/>
      <c r="R425" s="602"/>
      <c r="S425" s="602"/>
      <c r="T425" s="602"/>
      <c r="U425" s="602"/>
      <c r="V425" s="602"/>
      <c r="W425" s="602"/>
      <c r="X425" s="602"/>
      <c r="Y425" s="602"/>
      <c r="Z425" s="602"/>
      <c r="AA425" s="602"/>
      <c r="AB425" s="602"/>
      <c r="AC425" s="602"/>
      <c r="AD425" s="602"/>
      <c r="AE425" s="535"/>
      <c r="AF425" s="538"/>
      <c r="AG425" s="535"/>
      <c r="AM425" s="569"/>
      <c r="AN425" s="596"/>
    </row>
    <row r="426" spans="1:55" s="549" customFormat="1" ht="12.75" customHeight="1">
      <c r="A426" s="535"/>
      <c r="B426" s="14"/>
      <c r="C426" s="711" t="s">
        <v>2211</v>
      </c>
      <c r="D426" s="14"/>
      <c r="E426" s="690"/>
      <c r="F426" s="602"/>
      <c r="G426" s="602"/>
      <c r="H426" s="602"/>
      <c r="I426" s="602"/>
      <c r="J426" s="602"/>
      <c r="K426" s="602"/>
      <c r="L426" s="602"/>
      <c r="M426" s="602"/>
      <c r="N426" s="602"/>
      <c r="O426" s="602"/>
      <c r="P426" s="602"/>
      <c r="Q426" s="602"/>
      <c r="R426" s="602"/>
      <c r="S426" s="602"/>
      <c r="T426" s="602"/>
      <c r="U426" s="602"/>
      <c r="V426" s="602"/>
      <c r="W426" s="602"/>
      <c r="X426" s="602"/>
      <c r="Y426" s="602"/>
      <c r="Z426" s="602"/>
      <c r="AA426" s="602"/>
      <c r="AB426" s="602"/>
      <c r="AC426" s="602"/>
      <c r="AD426" s="602"/>
      <c r="AE426" s="535"/>
      <c r="AF426" s="538"/>
      <c r="AG426" s="535"/>
      <c r="AM426" s="569"/>
      <c r="AN426" s="596"/>
    </row>
    <row r="427" spans="1:55" s="549" customFormat="1" ht="12.75" customHeight="1">
      <c r="A427" s="535"/>
      <c r="B427" s="14"/>
      <c r="C427" s="712"/>
      <c r="D427" s="713"/>
      <c r="E427" s="714" t="s">
        <v>1482</v>
      </c>
      <c r="F427" s="2532" t="s">
        <v>1483</v>
      </c>
      <c r="G427" s="2532"/>
      <c r="H427" s="2532"/>
      <c r="I427" s="2532"/>
      <c r="J427" s="2532"/>
      <c r="K427" s="2532"/>
      <c r="L427" s="2532"/>
      <c r="M427" s="2532"/>
      <c r="N427" s="2532"/>
      <c r="O427" s="2532"/>
      <c r="P427" s="2532"/>
      <c r="Q427" s="2532"/>
      <c r="R427" s="2532"/>
      <c r="S427" s="2532"/>
      <c r="T427" s="2532"/>
      <c r="U427" s="2532"/>
      <c r="V427" s="2532"/>
      <c r="W427" s="2532"/>
      <c r="X427" s="2532"/>
      <c r="Y427" s="2532"/>
      <c r="Z427" s="2532"/>
      <c r="AA427" s="2532"/>
      <c r="AB427" s="2532"/>
      <c r="AC427" s="2532"/>
      <c r="AD427" s="2532"/>
      <c r="AE427" s="2532"/>
      <c r="AF427" s="713"/>
      <c r="AG427" s="713"/>
      <c r="AH427" s="713"/>
      <c r="AI427" s="713"/>
      <c r="AJ427" s="713"/>
      <c r="AK427" s="713"/>
      <c r="AL427" s="744"/>
      <c r="AM427" s="569"/>
      <c r="AN427" s="596"/>
    </row>
    <row r="428" spans="1:55" s="549" customFormat="1" ht="12.75" customHeight="1">
      <c r="A428" s="535"/>
      <c r="B428" s="14"/>
      <c r="C428" s="730"/>
      <c r="D428" s="14"/>
      <c r="E428" s="690"/>
      <c r="F428" s="2533"/>
      <c r="G428" s="2533"/>
      <c r="H428" s="2533"/>
      <c r="I428" s="2533"/>
      <c r="J428" s="2533"/>
      <c r="K428" s="2533"/>
      <c r="L428" s="2533"/>
      <c r="M428" s="2533"/>
      <c r="N428" s="2533"/>
      <c r="O428" s="2533"/>
      <c r="P428" s="2533"/>
      <c r="Q428" s="2533"/>
      <c r="R428" s="2533"/>
      <c r="S428" s="2533"/>
      <c r="T428" s="2533"/>
      <c r="U428" s="2533"/>
      <c r="V428" s="2533"/>
      <c r="W428" s="2533"/>
      <c r="X428" s="2533"/>
      <c r="Y428" s="2533"/>
      <c r="Z428" s="2533"/>
      <c r="AA428" s="2533"/>
      <c r="AB428" s="2533"/>
      <c r="AC428" s="2533"/>
      <c r="AD428" s="2533"/>
      <c r="AE428" s="2533"/>
      <c r="AF428" s="538"/>
      <c r="AG428" s="535"/>
      <c r="AL428" s="731"/>
      <c r="AM428" s="569"/>
      <c r="AN428" s="596"/>
    </row>
    <row r="429" spans="1:55" s="549" customFormat="1" ht="12.6" customHeight="1">
      <c r="A429" s="535"/>
      <c r="B429" s="14"/>
      <c r="C429" s="730"/>
      <c r="D429" s="14"/>
      <c r="E429" s="690"/>
      <c r="F429" s="2533"/>
      <c r="G429" s="2533"/>
      <c r="H429" s="2533"/>
      <c r="I429" s="2533"/>
      <c r="J429" s="2533"/>
      <c r="K429" s="2533"/>
      <c r="L429" s="2533"/>
      <c r="M429" s="2533"/>
      <c r="N429" s="2533"/>
      <c r="O429" s="2533"/>
      <c r="P429" s="2533"/>
      <c r="Q429" s="2533"/>
      <c r="R429" s="2533"/>
      <c r="S429" s="2533"/>
      <c r="T429" s="2533"/>
      <c r="U429" s="2533"/>
      <c r="V429" s="2533"/>
      <c r="W429" s="2533"/>
      <c r="X429" s="2533"/>
      <c r="Y429" s="2533"/>
      <c r="Z429" s="2533"/>
      <c r="AA429" s="2533"/>
      <c r="AB429" s="2533"/>
      <c r="AC429" s="2533"/>
      <c r="AD429" s="2533"/>
      <c r="AE429" s="2533"/>
      <c r="AL429" s="731"/>
      <c r="AM429" s="569"/>
      <c r="AN429" s="596"/>
    </row>
    <row r="430" spans="1:55" s="549" customFormat="1" ht="12.75" customHeight="1">
      <c r="A430" s="535"/>
      <c r="B430" s="14"/>
      <c r="C430" s="2529" t="s">
        <v>546</v>
      </c>
      <c r="D430" s="2486"/>
      <c r="E430" s="690"/>
      <c r="F430" s="720" t="s">
        <v>1484</v>
      </c>
      <c r="G430" s="748"/>
      <c r="H430" s="748"/>
      <c r="I430" s="748"/>
      <c r="J430" s="748"/>
      <c r="K430" s="748"/>
      <c r="L430" s="748"/>
      <c r="M430" s="748"/>
      <c r="N430" s="748"/>
      <c r="O430" s="748"/>
      <c r="P430" s="748"/>
      <c r="Q430" s="748"/>
      <c r="R430" s="748"/>
      <c r="S430" s="748"/>
      <c r="T430" s="748"/>
      <c r="U430" s="748"/>
      <c r="V430" s="748"/>
      <c r="W430" s="748"/>
      <c r="X430" s="748"/>
      <c r="Y430" s="748"/>
      <c r="Z430" s="748"/>
      <c r="AA430" s="748"/>
      <c r="AB430" s="748"/>
      <c r="AC430" s="748"/>
      <c r="AD430" s="748"/>
      <c r="AF430" s="2454" t="s">
        <v>1463</v>
      </c>
      <c r="AG430" s="2454"/>
      <c r="AH430" s="2454"/>
      <c r="AI430" s="2454"/>
      <c r="AJ430" s="2454"/>
      <c r="AK430" s="2454"/>
      <c r="AL430" s="2534"/>
      <c r="AM430" s="569"/>
      <c r="AN430" s="596"/>
    </row>
    <row r="431" spans="1:55" s="549" customFormat="1" ht="12.75" customHeight="1">
      <c r="A431" s="535"/>
      <c r="B431" s="14"/>
      <c r="C431" s="742"/>
      <c r="D431" s="726"/>
      <c r="E431" s="723"/>
      <c r="F431" s="740"/>
      <c r="G431" s="725"/>
      <c r="H431" s="725"/>
      <c r="I431" s="725"/>
      <c r="J431" s="725"/>
      <c r="K431" s="725"/>
      <c r="L431" s="725"/>
      <c r="M431" s="725"/>
      <c r="N431" s="725"/>
      <c r="O431" s="725"/>
      <c r="P431" s="725"/>
      <c r="Q431" s="725"/>
      <c r="R431" s="725"/>
      <c r="S431" s="725"/>
      <c r="T431" s="725"/>
      <c r="U431" s="725"/>
      <c r="V431" s="725"/>
      <c r="W431" s="725"/>
      <c r="X431" s="725"/>
      <c r="Y431" s="725"/>
      <c r="Z431" s="725"/>
      <c r="AA431" s="725"/>
      <c r="AB431" s="725"/>
      <c r="AC431" s="725"/>
      <c r="AD431" s="725"/>
      <c r="AE431" s="726"/>
      <c r="AF431" s="726"/>
      <c r="AG431" s="726"/>
      <c r="AH431" s="726"/>
      <c r="AI431" s="726"/>
      <c r="AJ431" s="726"/>
      <c r="AK431" s="726"/>
      <c r="AL431" s="741"/>
      <c r="AM431" s="569"/>
      <c r="AN431" s="596"/>
    </row>
    <row r="432" spans="1:55" s="549" customFormat="1" ht="12.75" customHeight="1">
      <c r="A432" s="535"/>
      <c r="B432" s="14"/>
      <c r="C432" s="729"/>
      <c r="D432" s="729"/>
      <c r="E432" s="718"/>
      <c r="F432" s="720"/>
      <c r="G432" s="602"/>
      <c r="H432" s="602"/>
      <c r="I432" s="602"/>
      <c r="J432" s="602"/>
      <c r="K432" s="602"/>
      <c r="L432" s="602"/>
      <c r="M432" s="602"/>
      <c r="N432" s="602"/>
      <c r="O432" s="602"/>
      <c r="P432" s="602"/>
      <c r="Q432" s="602"/>
      <c r="R432" s="602"/>
      <c r="S432" s="602"/>
      <c r="T432" s="602"/>
      <c r="U432" s="602"/>
      <c r="V432" s="602"/>
      <c r="W432" s="602"/>
      <c r="X432" s="602"/>
      <c r="Y432" s="602"/>
      <c r="Z432" s="602"/>
      <c r="AA432" s="602"/>
      <c r="AB432" s="602"/>
      <c r="AC432" s="602"/>
      <c r="AD432" s="602"/>
      <c r="AE432" s="535"/>
      <c r="AM432" s="569"/>
      <c r="AN432" s="596"/>
    </row>
    <row r="433" spans="1:60" ht="13.35" customHeight="1">
      <c r="A433" s="535"/>
      <c r="C433" s="745"/>
      <c r="D433" s="746"/>
      <c r="E433" s="714" t="s">
        <v>1485</v>
      </c>
      <c r="F433" s="2532" t="s">
        <v>1486</v>
      </c>
      <c r="G433" s="2532"/>
      <c r="H433" s="2532"/>
      <c r="I433" s="2532"/>
      <c r="J433" s="2532"/>
      <c r="K433" s="2532"/>
      <c r="L433" s="2532"/>
      <c r="M433" s="2532"/>
      <c r="N433" s="2532"/>
      <c r="O433" s="2532"/>
      <c r="P433" s="2532"/>
      <c r="Q433" s="2532"/>
      <c r="R433" s="2532"/>
      <c r="S433" s="2532"/>
      <c r="T433" s="2532"/>
      <c r="U433" s="2532"/>
      <c r="V433" s="2532"/>
      <c r="W433" s="2532"/>
      <c r="X433" s="2532"/>
      <c r="Y433" s="2532"/>
      <c r="Z433" s="2532"/>
      <c r="AA433" s="2532"/>
      <c r="AB433" s="2532"/>
      <c r="AC433" s="2532"/>
      <c r="AD433" s="2532"/>
      <c r="AE433" s="2532"/>
      <c r="AF433" s="746"/>
      <c r="AG433" s="746"/>
      <c r="AH433" s="746"/>
      <c r="AI433" s="746"/>
      <c r="AJ433" s="746"/>
      <c r="AK433" s="746"/>
      <c r="AL433" s="747"/>
      <c r="AM433" s="569"/>
      <c r="AO433" s="549"/>
      <c r="AP433" s="549"/>
      <c r="BD433" s="14"/>
      <c r="BE433" s="14"/>
      <c r="BF433" s="14"/>
      <c r="BG433" s="14"/>
      <c r="BH433" s="14"/>
    </row>
    <row r="434" spans="1:60">
      <c r="A434" s="535"/>
      <c r="C434" s="730"/>
      <c r="E434" s="690"/>
      <c r="F434" s="2533"/>
      <c r="G434" s="2533"/>
      <c r="H434" s="2533"/>
      <c r="I434" s="2533"/>
      <c r="J434" s="2533"/>
      <c r="K434" s="2533"/>
      <c r="L434" s="2533"/>
      <c r="M434" s="2533"/>
      <c r="N434" s="2533"/>
      <c r="O434" s="2533"/>
      <c r="P434" s="2533"/>
      <c r="Q434" s="2533"/>
      <c r="R434" s="2533"/>
      <c r="S434" s="2533"/>
      <c r="T434" s="2533"/>
      <c r="U434" s="2533"/>
      <c r="V434" s="2533"/>
      <c r="W434" s="2533"/>
      <c r="X434" s="2533"/>
      <c r="Y434" s="2533"/>
      <c r="Z434" s="2533"/>
      <c r="AA434" s="2533"/>
      <c r="AB434" s="2533"/>
      <c r="AC434" s="2533"/>
      <c r="AD434" s="2533"/>
      <c r="AE434" s="2533"/>
      <c r="AF434" s="593"/>
      <c r="AG434" s="593"/>
      <c r="AH434" s="593"/>
      <c r="AI434" s="593"/>
      <c r="AJ434" s="593"/>
      <c r="AK434" s="593"/>
      <c r="AL434" s="749"/>
      <c r="AM434" s="569"/>
      <c r="AO434" s="549"/>
      <c r="AP434" s="549"/>
    </row>
    <row r="435" spans="1:60" s="549" customFormat="1" ht="12.75" customHeight="1">
      <c r="A435" s="535"/>
      <c r="B435" s="14"/>
      <c r="C435" s="730"/>
      <c r="D435" s="14"/>
      <c r="E435" s="690"/>
      <c r="F435" s="2533"/>
      <c r="G435" s="2533"/>
      <c r="H435" s="2533"/>
      <c r="I435" s="2533"/>
      <c r="J435" s="2533"/>
      <c r="K435" s="2533"/>
      <c r="L435" s="2533"/>
      <c r="M435" s="2533"/>
      <c r="N435" s="2533"/>
      <c r="O435" s="2533"/>
      <c r="P435" s="2533"/>
      <c r="Q435" s="2533"/>
      <c r="R435" s="2533"/>
      <c r="S435" s="2533"/>
      <c r="T435" s="2533"/>
      <c r="U435" s="2533"/>
      <c r="V435" s="2533"/>
      <c r="W435" s="2533"/>
      <c r="X435" s="2533"/>
      <c r="Y435" s="2533"/>
      <c r="Z435" s="2533"/>
      <c r="AA435" s="2533"/>
      <c r="AB435" s="2533"/>
      <c r="AC435" s="2533"/>
      <c r="AD435" s="2533"/>
      <c r="AE435" s="2533"/>
      <c r="AF435" s="593"/>
      <c r="AG435" s="593"/>
      <c r="AH435" s="593"/>
      <c r="AI435" s="593"/>
      <c r="AJ435" s="593"/>
      <c r="AK435" s="593"/>
      <c r="AL435" s="749"/>
      <c r="AM435" s="569"/>
      <c r="AN435" s="596"/>
    </row>
    <row r="436" spans="1:60" s="549" customFormat="1" ht="12.75" customHeight="1">
      <c r="A436" s="535"/>
      <c r="B436" s="14"/>
      <c r="C436" s="750"/>
      <c r="D436" s="729"/>
      <c r="E436" s="718"/>
      <c r="F436" s="2533"/>
      <c r="G436" s="2533"/>
      <c r="H436" s="2533"/>
      <c r="I436" s="2533"/>
      <c r="J436" s="2533"/>
      <c r="K436" s="2533"/>
      <c r="L436" s="2533"/>
      <c r="M436" s="2533"/>
      <c r="N436" s="2533"/>
      <c r="O436" s="2533"/>
      <c r="P436" s="2533"/>
      <c r="Q436" s="2533"/>
      <c r="R436" s="2533"/>
      <c r="S436" s="2533"/>
      <c r="T436" s="2533"/>
      <c r="U436" s="2533"/>
      <c r="V436" s="2533"/>
      <c r="W436" s="2533"/>
      <c r="X436" s="2533"/>
      <c r="Y436" s="2533"/>
      <c r="Z436" s="2533"/>
      <c r="AA436" s="2533"/>
      <c r="AB436" s="2533"/>
      <c r="AC436" s="2533"/>
      <c r="AD436" s="2533"/>
      <c r="AE436" s="2533"/>
      <c r="AF436" s="593"/>
      <c r="AG436" s="593"/>
      <c r="AH436" s="593"/>
      <c r="AI436" s="593"/>
      <c r="AJ436" s="593"/>
      <c r="AK436" s="593"/>
      <c r="AL436" s="749"/>
      <c r="AM436" s="569"/>
      <c r="AN436" s="596"/>
      <c r="AO436" s="30"/>
      <c r="AP436" s="14"/>
    </row>
    <row r="437" spans="1:60" s="549" customFormat="1" ht="12.75" customHeight="1">
      <c r="A437" s="535"/>
      <c r="B437" s="14"/>
      <c r="C437" s="750"/>
      <c r="D437" s="729"/>
      <c r="E437" s="718"/>
      <c r="F437" s="2533"/>
      <c r="G437" s="2533"/>
      <c r="H437" s="2533"/>
      <c r="I437" s="2533"/>
      <c r="J437" s="2533"/>
      <c r="K437" s="2533"/>
      <c r="L437" s="2533"/>
      <c r="M437" s="2533"/>
      <c r="N437" s="2533"/>
      <c r="O437" s="2533"/>
      <c r="P437" s="2533"/>
      <c r="Q437" s="2533"/>
      <c r="R437" s="2533"/>
      <c r="S437" s="2533"/>
      <c r="T437" s="2533"/>
      <c r="U437" s="2533"/>
      <c r="V437" s="2533"/>
      <c r="W437" s="2533"/>
      <c r="X437" s="2533"/>
      <c r="Y437" s="2533"/>
      <c r="Z437" s="2533"/>
      <c r="AA437" s="2533"/>
      <c r="AB437" s="2533"/>
      <c r="AC437" s="2533"/>
      <c r="AD437" s="2533"/>
      <c r="AE437" s="2533"/>
      <c r="AF437" s="593"/>
      <c r="AG437" s="593"/>
      <c r="AH437" s="593"/>
      <c r="AI437" s="593"/>
      <c r="AJ437" s="593"/>
      <c r="AK437" s="593"/>
      <c r="AL437" s="749"/>
      <c r="AM437" s="569"/>
      <c r="AN437" s="596"/>
    </row>
    <row r="438" spans="1:60" s="549" customFormat="1" ht="12.75" customHeight="1">
      <c r="A438" s="535"/>
      <c r="B438" s="14"/>
      <c r="C438" s="750"/>
      <c r="D438" s="729"/>
      <c r="E438" s="718"/>
      <c r="F438" s="2533"/>
      <c r="G438" s="2533"/>
      <c r="H438" s="2533"/>
      <c r="I438" s="2533"/>
      <c r="J438" s="2533"/>
      <c r="K438" s="2533"/>
      <c r="L438" s="2533"/>
      <c r="M438" s="2533"/>
      <c r="N438" s="2533"/>
      <c r="O438" s="2533"/>
      <c r="P438" s="2533"/>
      <c r="Q438" s="2533"/>
      <c r="R438" s="2533"/>
      <c r="S438" s="2533"/>
      <c r="T438" s="2533"/>
      <c r="U438" s="2533"/>
      <c r="V438" s="2533"/>
      <c r="W438" s="2533"/>
      <c r="X438" s="2533"/>
      <c r="Y438" s="2533"/>
      <c r="Z438" s="2533"/>
      <c r="AA438" s="2533"/>
      <c r="AB438" s="2533"/>
      <c r="AC438" s="2533"/>
      <c r="AD438" s="2533"/>
      <c r="AE438" s="2533"/>
      <c r="AF438" s="593"/>
      <c r="AG438" s="593"/>
      <c r="AH438" s="593"/>
      <c r="AI438" s="593"/>
      <c r="AJ438" s="593"/>
      <c r="AK438" s="593"/>
      <c r="AL438" s="749"/>
      <c r="AM438" s="569"/>
      <c r="AN438" s="596"/>
    </row>
    <row r="439" spans="1:60" s="549" customFormat="1" ht="12.75" customHeight="1">
      <c r="A439" s="535"/>
      <c r="B439" s="14"/>
      <c r="C439" s="750"/>
      <c r="D439" s="729"/>
      <c r="E439" s="718"/>
      <c r="F439" s="2533"/>
      <c r="G439" s="2533"/>
      <c r="H439" s="2533"/>
      <c r="I439" s="2533"/>
      <c r="J439" s="2533"/>
      <c r="K439" s="2533"/>
      <c r="L439" s="2533"/>
      <c r="M439" s="2533"/>
      <c r="N439" s="2533"/>
      <c r="O439" s="2533"/>
      <c r="P439" s="2533"/>
      <c r="Q439" s="2533"/>
      <c r="R439" s="2533"/>
      <c r="S439" s="2533"/>
      <c r="T439" s="2533"/>
      <c r="U439" s="2533"/>
      <c r="V439" s="2533"/>
      <c r="W439" s="2533"/>
      <c r="X439" s="2533"/>
      <c r="Y439" s="2533"/>
      <c r="Z439" s="2533"/>
      <c r="AA439" s="2533"/>
      <c r="AB439" s="2533"/>
      <c r="AC439" s="2533"/>
      <c r="AD439" s="2533"/>
      <c r="AE439" s="2533"/>
      <c r="AF439" s="593"/>
      <c r="AG439" s="593"/>
      <c r="AH439" s="593"/>
      <c r="AI439" s="593"/>
      <c r="AJ439" s="593"/>
      <c r="AK439" s="593"/>
      <c r="AL439" s="749"/>
      <c r="AM439" s="569"/>
      <c r="AN439" s="596"/>
    </row>
    <row r="440" spans="1:60" s="549" customFormat="1" ht="12.75" customHeight="1">
      <c r="A440" s="535"/>
      <c r="B440" s="14"/>
      <c r="C440" s="750"/>
      <c r="D440" s="729"/>
      <c r="E440" s="718"/>
      <c r="F440" s="2533"/>
      <c r="G440" s="2533"/>
      <c r="H440" s="2533"/>
      <c r="I440" s="2533"/>
      <c r="J440" s="2533"/>
      <c r="K440" s="2533"/>
      <c r="L440" s="2533"/>
      <c r="M440" s="2533"/>
      <c r="N440" s="2533"/>
      <c r="O440" s="2533"/>
      <c r="P440" s="2533"/>
      <c r="Q440" s="2533"/>
      <c r="R440" s="2533"/>
      <c r="S440" s="2533"/>
      <c r="T440" s="2533"/>
      <c r="U440" s="2533"/>
      <c r="V440" s="2533"/>
      <c r="W440" s="2533"/>
      <c r="X440" s="2533"/>
      <c r="Y440" s="2533"/>
      <c r="Z440" s="2533"/>
      <c r="AA440" s="2533"/>
      <c r="AB440" s="2533"/>
      <c r="AC440" s="2533"/>
      <c r="AD440" s="2533"/>
      <c r="AE440" s="2533"/>
      <c r="AF440" s="593"/>
      <c r="AG440" s="593"/>
      <c r="AH440" s="593"/>
      <c r="AI440" s="593"/>
      <c r="AJ440" s="593"/>
      <c r="AK440" s="593"/>
      <c r="AL440" s="749"/>
      <c r="AM440" s="569"/>
      <c r="AN440" s="596"/>
    </row>
    <row r="441" spans="1:60" s="549" customFormat="1" ht="17.25" customHeight="1">
      <c r="A441" s="535"/>
      <c r="B441" s="14"/>
      <c r="C441" s="750"/>
      <c r="D441" s="729"/>
      <c r="E441" s="718"/>
      <c r="F441" s="2533"/>
      <c r="G441" s="2533"/>
      <c r="H441" s="2533"/>
      <c r="I441" s="2533"/>
      <c r="J441" s="2533"/>
      <c r="K441" s="2533"/>
      <c r="L441" s="2533"/>
      <c r="M441" s="2533"/>
      <c r="N441" s="2533"/>
      <c r="O441" s="2533"/>
      <c r="P441" s="2533"/>
      <c r="Q441" s="2533"/>
      <c r="R441" s="2533"/>
      <c r="S441" s="2533"/>
      <c r="T441" s="2533"/>
      <c r="U441" s="2533"/>
      <c r="V441" s="2533"/>
      <c r="W441" s="2533"/>
      <c r="X441" s="2533"/>
      <c r="Y441" s="2533"/>
      <c r="Z441" s="2533"/>
      <c r="AA441" s="2533"/>
      <c r="AB441" s="2533"/>
      <c r="AC441" s="2533"/>
      <c r="AD441" s="2533"/>
      <c r="AE441" s="2533"/>
      <c r="AL441" s="731"/>
      <c r="AM441" s="569"/>
      <c r="AN441" s="596"/>
    </row>
    <row r="442" spans="1:60" s="549" customFormat="1" ht="12.75" customHeight="1">
      <c r="A442" s="535"/>
      <c r="B442" s="14"/>
      <c r="C442" s="2529" t="s">
        <v>592</v>
      </c>
      <c r="D442" s="2486"/>
      <c r="E442" s="718"/>
      <c r="F442" s="595" t="s">
        <v>1487</v>
      </c>
      <c r="G442" s="675"/>
      <c r="H442" s="675"/>
      <c r="I442" s="675"/>
      <c r="J442" s="675"/>
      <c r="K442" s="675"/>
      <c r="L442" s="675"/>
      <c r="M442" s="675"/>
      <c r="N442" s="675"/>
      <c r="O442" s="675"/>
      <c r="P442" s="675"/>
      <c r="Q442" s="675"/>
      <c r="R442" s="675"/>
      <c r="S442" s="675"/>
      <c r="T442" s="675"/>
      <c r="U442" s="675"/>
      <c r="V442" s="675"/>
      <c r="W442" s="675"/>
      <c r="X442" s="675"/>
      <c r="Y442" s="675"/>
      <c r="Z442" s="675"/>
      <c r="AA442" s="675"/>
      <c r="AB442" s="675"/>
      <c r="AC442" s="675"/>
      <c r="AD442" s="675"/>
      <c r="AF442" s="2454" t="s">
        <v>1463</v>
      </c>
      <c r="AG442" s="2454"/>
      <c r="AH442" s="2454"/>
      <c r="AI442" s="2454"/>
      <c r="AJ442" s="2454"/>
      <c r="AK442" s="2454"/>
      <c r="AL442" s="2534"/>
      <c r="AM442" s="569"/>
      <c r="AN442" s="596"/>
    </row>
    <row r="443" spans="1:60" s="549" customFormat="1" ht="12.75" customHeight="1">
      <c r="A443" s="535"/>
      <c r="B443" s="14"/>
      <c r="C443" s="742"/>
      <c r="D443" s="726"/>
      <c r="E443" s="723"/>
      <c r="F443" s="740"/>
      <c r="G443" s="725"/>
      <c r="H443" s="725"/>
      <c r="I443" s="725"/>
      <c r="J443" s="725"/>
      <c r="K443" s="725"/>
      <c r="L443" s="725"/>
      <c r="M443" s="725"/>
      <c r="N443" s="725"/>
      <c r="O443" s="725"/>
      <c r="P443" s="725"/>
      <c r="Q443" s="725"/>
      <c r="R443" s="725"/>
      <c r="S443" s="725"/>
      <c r="T443" s="725"/>
      <c r="U443" s="725"/>
      <c r="V443" s="725"/>
      <c r="W443" s="725"/>
      <c r="X443" s="725"/>
      <c r="Y443" s="725"/>
      <c r="Z443" s="725"/>
      <c r="AA443" s="725"/>
      <c r="AB443" s="725"/>
      <c r="AC443" s="725"/>
      <c r="AD443" s="725"/>
      <c r="AE443" s="726"/>
      <c r="AF443" s="726"/>
      <c r="AG443" s="726"/>
      <c r="AH443" s="726"/>
      <c r="AI443" s="726"/>
      <c r="AJ443" s="726"/>
      <c r="AK443" s="726"/>
      <c r="AL443" s="741"/>
      <c r="AM443" s="569"/>
      <c r="AN443" s="596"/>
    </row>
    <row r="444" spans="1:60" s="549" customFormat="1" ht="12.75" customHeight="1">
      <c r="A444" s="535"/>
      <c r="B444" s="14"/>
      <c r="C444" s="729"/>
      <c r="D444" s="729"/>
      <c r="E444" s="718"/>
      <c r="F444" s="720"/>
      <c r="G444" s="602"/>
      <c r="H444" s="602"/>
      <c r="I444" s="602"/>
      <c r="J444" s="602"/>
      <c r="K444" s="602"/>
      <c r="L444" s="602"/>
      <c r="M444" s="602"/>
      <c r="N444" s="602"/>
      <c r="O444" s="602"/>
      <c r="P444" s="602"/>
      <c r="Q444" s="602"/>
      <c r="R444" s="602"/>
      <c r="S444" s="602"/>
      <c r="T444" s="602"/>
      <c r="U444" s="602"/>
      <c r="V444" s="602"/>
      <c r="W444" s="602"/>
      <c r="X444" s="602"/>
      <c r="Y444" s="602"/>
      <c r="Z444" s="602"/>
      <c r="AA444" s="602"/>
      <c r="AB444" s="602"/>
      <c r="AC444" s="602"/>
      <c r="AD444" s="602"/>
      <c r="AE444" s="590"/>
      <c r="AF444" s="590"/>
      <c r="AG444" s="590"/>
      <c r="AH444" s="590"/>
      <c r="AI444" s="590"/>
      <c r="AJ444" s="590"/>
      <c r="AK444" s="590"/>
      <c r="AL444" s="590"/>
      <c r="AM444" s="569"/>
      <c r="AN444" s="596"/>
    </row>
    <row r="445" spans="1:60" s="549" customFormat="1" ht="12.75" customHeight="1">
      <c r="A445" s="535"/>
      <c r="B445" s="14"/>
      <c r="C445" s="712"/>
      <c r="D445" s="713"/>
      <c r="E445" s="714" t="s">
        <v>1488</v>
      </c>
      <c r="F445" s="2532" t="s">
        <v>1489</v>
      </c>
      <c r="G445" s="2532"/>
      <c r="H445" s="2532"/>
      <c r="I445" s="2532"/>
      <c r="J445" s="2532"/>
      <c r="K445" s="2532"/>
      <c r="L445" s="2532"/>
      <c r="M445" s="2532"/>
      <c r="N445" s="2532"/>
      <c r="O445" s="2532"/>
      <c r="P445" s="2532"/>
      <c r="Q445" s="2532"/>
      <c r="R445" s="2532"/>
      <c r="S445" s="2532"/>
      <c r="T445" s="2532"/>
      <c r="U445" s="2532"/>
      <c r="V445" s="2532"/>
      <c r="W445" s="2532"/>
      <c r="X445" s="2532"/>
      <c r="Y445" s="2532"/>
      <c r="Z445" s="2532"/>
      <c r="AA445" s="2532"/>
      <c r="AB445" s="2532"/>
      <c r="AC445" s="2532"/>
      <c r="AD445" s="2532"/>
      <c r="AE445" s="2532"/>
      <c r="AF445" s="713"/>
      <c r="AG445" s="713"/>
      <c r="AH445" s="713"/>
      <c r="AI445" s="713"/>
      <c r="AJ445" s="713"/>
      <c r="AK445" s="713"/>
      <c r="AL445" s="744"/>
      <c r="AM445" s="569"/>
      <c r="AN445" s="596"/>
    </row>
    <row r="446" spans="1:60" s="549" customFormat="1" ht="12.75" customHeight="1">
      <c r="A446" s="535"/>
      <c r="B446" s="14"/>
      <c r="C446" s="750"/>
      <c r="D446" s="729"/>
      <c r="E446" s="718"/>
      <c r="F446" s="2533"/>
      <c r="G446" s="2533"/>
      <c r="H446" s="2533"/>
      <c r="I446" s="2533"/>
      <c r="J446" s="2533"/>
      <c r="K446" s="2533"/>
      <c r="L446" s="2533"/>
      <c r="M446" s="2533"/>
      <c r="N446" s="2533"/>
      <c r="O446" s="2533"/>
      <c r="P446" s="2533"/>
      <c r="Q446" s="2533"/>
      <c r="R446" s="2533"/>
      <c r="S446" s="2533"/>
      <c r="T446" s="2533"/>
      <c r="U446" s="2533"/>
      <c r="V446" s="2533"/>
      <c r="W446" s="2533"/>
      <c r="X446" s="2533"/>
      <c r="Y446" s="2533"/>
      <c r="Z446" s="2533"/>
      <c r="AA446" s="2533"/>
      <c r="AB446" s="2533"/>
      <c r="AC446" s="2533"/>
      <c r="AD446" s="2533"/>
      <c r="AE446" s="2533"/>
      <c r="AF446" s="590"/>
      <c r="AG446" s="590"/>
      <c r="AH446" s="590"/>
      <c r="AI446" s="590"/>
      <c r="AJ446" s="590"/>
      <c r="AK446" s="590"/>
      <c r="AL446" s="719"/>
      <c r="AM446" s="569"/>
      <c r="AN446" s="596"/>
    </row>
    <row r="447" spans="1:60" s="549" customFormat="1" ht="12.75" customHeight="1">
      <c r="A447" s="535"/>
      <c r="B447" s="14"/>
      <c r="C447" s="750"/>
      <c r="D447" s="729"/>
      <c r="E447" s="718"/>
      <c r="F447" s="2533"/>
      <c r="G447" s="2533"/>
      <c r="H447" s="2533"/>
      <c r="I447" s="2533"/>
      <c r="J447" s="2533"/>
      <c r="K447" s="2533"/>
      <c r="L447" s="2533"/>
      <c r="M447" s="2533"/>
      <c r="N447" s="2533"/>
      <c r="O447" s="2533"/>
      <c r="P447" s="2533"/>
      <c r="Q447" s="2533"/>
      <c r="R447" s="2533"/>
      <c r="S447" s="2533"/>
      <c r="T447" s="2533"/>
      <c r="U447" s="2533"/>
      <c r="V447" s="2533"/>
      <c r="W447" s="2533"/>
      <c r="X447" s="2533"/>
      <c r="Y447" s="2533"/>
      <c r="Z447" s="2533"/>
      <c r="AA447" s="2533"/>
      <c r="AB447" s="2533"/>
      <c r="AC447" s="2533"/>
      <c r="AD447" s="2533"/>
      <c r="AE447" s="2533"/>
      <c r="AF447" s="590"/>
      <c r="AG447" s="590"/>
      <c r="AH447" s="590"/>
      <c r="AI447" s="590"/>
      <c r="AJ447" s="590"/>
      <c r="AK447" s="590"/>
      <c r="AL447" s="719"/>
      <c r="AM447" s="569"/>
      <c r="AN447" s="596"/>
    </row>
    <row r="448" spans="1:60" s="549" customFormat="1" ht="12.75" customHeight="1">
      <c r="A448" s="535"/>
      <c r="B448" s="14"/>
      <c r="C448" s="750"/>
      <c r="D448" s="729"/>
      <c r="E448" s="718"/>
      <c r="F448" s="2533"/>
      <c r="G448" s="2533"/>
      <c r="H448" s="2533"/>
      <c r="I448" s="2533"/>
      <c r="J448" s="2533"/>
      <c r="K448" s="2533"/>
      <c r="L448" s="2533"/>
      <c r="M448" s="2533"/>
      <c r="N448" s="2533"/>
      <c r="O448" s="2533"/>
      <c r="P448" s="2533"/>
      <c r="Q448" s="2533"/>
      <c r="R448" s="2533"/>
      <c r="S448" s="2533"/>
      <c r="T448" s="2533"/>
      <c r="U448" s="2533"/>
      <c r="V448" s="2533"/>
      <c r="W448" s="2533"/>
      <c r="X448" s="2533"/>
      <c r="Y448" s="2533"/>
      <c r="Z448" s="2533"/>
      <c r="AA448" s="2533"/>
      <c r="AB448" s="2533"/>
      <c r="AC448" s="2533"/>
      <c r="AD448" s="2533"/>
      <c r="AE448" s="2533"/>
      <c r="AL448" s="731"/>
      <c r="AM448" s="569"/>
      <c r="AN448" s="596"/>
    </row>
    <row r="449" spans="1:40" s="549" customFormat="1" ht="12.75" customHeight="1">
      <c r="A449" s="535"/>
      <c r="B449" s="14"/>
      <c r="C449" s="2529" t="s">
        <v>546</v>
      </c>
      <c r="D449" s="2486"/>
      <c r="E449" s="718"/>
      <c r="F449" s="720" t="s">
        <v>1493</v>
      </c>
      <c r="G449" s="602"/>
      <c r="H449" s="602"/>
      <c r="I449" s="602"/>
      <c r="J449" s="602"/>
      <c r="K449" s="602"/>
      <c r="L449" s="602"/>
      <c r="M449" s="602"/>
      <c r="N449" s="602"/>
      <c r="O449" s="602"/>
      <c r="P449" s="602"/>
      <c r="Q449" s="602"/>
      <c r="R449" s="602"/>
      <c r="S449" s="602"/>
      <c r="T449" s="602"/>
      <c r="U449" s="602"/>
      <c r="V449" s="602"/>
      <c r="W449" s="602"/>
      <c r="X449" s="602"/>
      <c r="Y449" s="602"/>
      <c r="Z449" s="602"/>
      <c r="AA449" s="602"/>
      <c r="AB449" s="602"/>
      <c r="AC449" s="602"/>
      <c r="AD449" s="602"/>
      <c r="AF449" s="2454" t="s">
        <v>1463</v>
      </c>
      <c r="AG449" s="2454"/>
      <c r="AH449" s="2454"/>
      <c r="AI449" s="2454"/>
      <c r="AJ449" s="2454"/>
      <c r="AK449" s="2454"/>
      <c r="AL449" s="2534"/>
      <c r="AM449" s="569"/>
      <c r="AN449" s="752"/>
    </row>
    <row r="450" spans="1:40" s="549" customFormat="1" ht="12.75" customHeight="1">
      <c r="A450" s="535"/>
      <c r="B450" s="14"/>
      <c r="C450" s="750"/>
      <c r="D450" s="729"/>
      <c r="E450" s="718"/>
      <c r="F450" s="720"/>
      <c r="G450" s="602"/>
      <c r="H450" s="602"/>
      <c r="I450" s="602"/>
      <c r="J450" s="602"/>
      <c r="K450" s="602"/>
      <c r="L450" s="602"/>
      <c r="M450" s="602"/>
      <c r="N450" s="602"/>
      <c r="O450" s="602"/>
      <c r="P450" s="602"/>
      <c r="Q450" s="602"/>
      <c r="R450" s="602"/>
      <c r="S450" s="602"/>
      <c r="T450" s="602"/>
      <c r="U450" s="602"/>
      <c r="V450" s="602"/>
      <c r="W450" s="602"/>
      <c r="X450" s="602"/>
      <c r="Y450" s="602"/>
      <c r="Z450" s="602"/>
      <c r="AA450" s="602"/>
      <c r="AB450" s="602"/>
      <c r="AC450" s="602"/>
      <c r="AD450" s="602"/>
      <c r="AE450" s="590"/>
      <c r="AL450" s="731"/>
      <c r="AM450" s="569"/>
      <c r="AN450" s="752"/>
    </row>
    <row r="451" spans="1:40" s="549" customFormat="1" ht="12.75" customHeight="1">
      <c r="A451" s="535"/>
      <c r="B451" s="14"/>
      <c r="C451" s="739"/>
      <c r="D451" s="732"/>
      <c r="E451" s="733"/>
      <c r="F451" s="726" t="s">
        <v>1470</v>
      </c>
      <c r="G451" s="734"/>
      <c r="H451" s="734"/>
      <c r="I451" s="734"/>
      <c r="J451" s="734"/>
      <c r="K451" s="734"/>
      <c r="L451" s="734"/>
      <c r="M451" s="734"/>
      <c r="N451" s="734"/>
      <c r="O451" s="734"/>
      <c r="P451" s="734"/>
      <c r="Q451" s="734"/>
      <c r="R451" s="734"/>
      <c r="S451" s="734"/>
      <c r="T451" s="734"/>
      <c r="U451" s="734"/>
      <c r="V451" s="734"/>
      <c r="W451" s="734"/>
      <c r="X451" s="734"/>
      <c r="Y451" s="734"/>
      <c r="Z451" s="734"/>
      <c r="AA451" s="734"/>
      <c r="AB451" s="734"/>
      <c r="AC451" s="734"/>
      <c r="AD451" s="734"/>
      <c r="AE451" s="736"/>
      <c r="AF451" s="582"/>
      <c r="AG451" s="736"/>
      <c r="AH451" s="726"/>
      <c r="AI451" s="726"/>
      <c r="AJ451" s="726"/>
      <c r="AK451" s="726"/>
      <c r="AL451" s="741"/>
      <c r="AM451" s="569"/>
      <c r="AN451" s="752"/>
    </row>
    <row r="452" spans="1:40" s="549" customFormat="1" ht="12.75" customHeight="1">
      <c r="A452" s="535"/>
      <c r="B452" s="14"/>
      <c r="C452" s="729"/>
      <c r="D452" s="729"/>
      <c r="E452" s="718"/>
      <c r="F452" s="720"/>
      <c r="G452" s="602"/>
      <c r="H452" s="602"/>
      <c r="I452" s="602"/>
      <c r="J452" s="602"/>
      <c r="K452" s="602"/>
      <c r="L452" s="602"/>
      <c r="M452" s="602"/>
      <c r="N452" s="602"/>
      <c r="O452" s="602"/>
      <c r="P452" s="602"/>
      <c r="Q452" s="602"/>
      <c r="R452" s="602"/>
      <c r="S452" s="602"/>
      <c r="T452" s="602"/>
      <c r="U452" s="602"/>
      <c r="V452" s="602"/>
      <c r="W452" s="602"/>
      <c r="X452" s="602"/>
      <c r="Y452" s="602"/>
      <c r="Z452" s="602"/>
      <c r="AA452" s="602"/>
      <c r="AB452" s="602"/>
      <c r="AC452" s="602"/>
      <c r="AD452" s="602"/>
      <c r="AE452" s="590"/>
      <c r="AM452" s="569"/>
      <c r="AN452" s="752"/>
    </row>
    <row r="453" spans="1:40" s="549" customFormat="1" ht="12.75" customHeight="1">
      <c r="A453" s="535"/>
      <c r="B453" s="14"/>
      <c r="C453" s="2535" t="s">
        <v>592</v>
      </c>
      <c r="D453" s="2536"/>
      <c r="E453" s="714" t="s">
        <v>1498</v>
      </c>
      <c r="F453" s="2532" t="s">
        <v>1499</v>
      </c>
      <c r="G453" s="2532"/>
      <c r="H453" s="2532"/>
      <c r="I453" s="2532"/>
      <c r="J453" s="2532"/>
      <c r="K453" s="2532"/>
      <c r="L453" s="2532"/>
      <c r="M453" s="2532"/>
      <c r="N453" s="2532"/>
      <c r="O453" s="2532"/>
      <c r="P453" s="2532"/>
      <c r="Q453" s="2532"/>
      <c r="R453" s="2532"/>
      <c r="S453" s="2532"/>
      <c r="T453" s="2532"/>
      <c r="U453" s="2532"/>
      <c r="V453" s="2532"/>
      <c r="W453" s="2532"/>
      <c r="X453" s="2532"/>
      <c r="Y453" s="2532"/>
      <c r="Z453" s="2532"/>
      <c r="AA453" s="2532"/>
      <c r="AB453" s="2532"/>
      <c r="AC453" s="2532"/>
      <c r="AD453" s="2532"/>
      <c r="AE453" s="2532"/>
      <c r="AF453" s="2553" t="s">
        <v>1463</v>
      </c>
      <c r="AG453" s="2553"/>
      <c r="AH453" s="2553"/>
      <c r="AI453" s="2553"/>
      <c r="AJ453" s="2553"/>
      <c r="AK453" s="2553"/>
      <c r="AL453" s="2554"/>
      <c r="AM453" s="569"/>
      <c r="AN453" s="752"/>
    </row>
    <row r="454" spans="1:40" s="549" customFormat="1" ht="12.75" customHeight="1">
      <c r="A454" s="535"/>
      <c r="B454" s="14"/>
      <c r="C454" s="750"/>
      <c r="D454" s="729"/>
      <c r="E454" s="718"/>
      <c r="F454" s="2533"/>
      <c r="G454" s="2533"/>
      <c r="H454" s="2533"/>
      <c r="I454" s="2533"/>
      <c r="J454" s="2533"/>
      <c r="K454" s="2533"/>
      <c r="L454" s="2533"/>
      <c r="M454" s="2533"/>
      <c r="N454" s="2533"/>
      <c r="O454" s="2533"/>
      <c r="P454" s="2533"/>
      <c r="Q454" s="2533"/>
      <c r="R454" s="2533"/>
      <c r="S454" s="2533"/>
      <c r="T454" s="2533"/>
      <c r="U454" s="2533"/>
      <c r="V454" s="2533"/>
      <c r="W454" s="2533"/>
      <c r="X454" s="2533"/>
      <c r="Y454" s="2533"/>
      <c r="Z454" s="2533"/>
      <c r="AA454" s="2533"/>
      <c r="AB454" s="2533"/>
      <c r="AC454" s="2533"/>
      <c r="AD454" s="2533"/>
      <c r="AE454" s="2533"/>
      <c r="AF454" s="590"/>
      <c r="AG454" s="590"/>
      <c r="AH454" s="590"/>
      <c r="AI454" s="590"/>
      <c r="AJ454" s="590"/>
      <c r="AK454" s="590"/>
      <c r="AL454" s="719"/>
      <c r="AM454" s="569"/>
      <c r="AN454" s="753"/>
    </row>
    <row r="455" spans="1:40" s="549" customFormat="1" ht="17.850000000000001" customHeight="1">
      <c r="A455" s="535"/>
      <c r="B455" s="14"/>
      <c r="C455" s="755"/>
      <c r="D455" s="722"/>
      <c r="E455" s="723"/>
      <c r="F455" s="2552"/>
      <c r="G455" s="2552"/>
      <c r="H455" s="2552"/>
      <c r="I455" s="2552"/>
      <c r="J455" s="2552"/>
      <c r="K455" s="2552"/>
      <c r="L455" s="2552"/>
      <c r="M455" s="2552"/>
      <c r="N455" s="2552"/>
      <c r="O455" s="2552"/>
      <c r="P455" s="2552"/>
      <c r="Q455" s="2552"/>
      <c r="R455" s="2552"/>
      <c r="S455" s="2552"/>
      <c r="T455" s="2552"/>
      <c r="U455" s="2552"/>
      <c r="V455" s="2552"/>
      <c r="W455" s="2552"/>
      <c r="X455" s="2552"/>
      <c r="Y455" s="2552"/>
      <c r="Z455" s="2552"/>
      <c r="AA455" s="2552"/>
      <c r="AB455" s="2552"/>
      <c r="AC455" s="2552"/>
      <c r="AD455" s="2552"/>
      <c r="AE455" s="2552"/>
      <c r="AF455" s="727"/>
      <c r="AG455" s="727"/>
      <c r="AH455" s="727"/>
      <c r="AI455" s="727"/>
      <c r="AJ455" s="727"/>
      <c r="AK455" s="727"/>
      <c r="AL455" s="756"/>
      <c r="AM455" s="569"/>
      <c r="AN455" s="534"/>
    </row>
    <row r="456" spans="1:40" s="549" customFormat="1" ht="12.75" customHeight="1">
      <c r="A456" s="535"/>
      <c r="B456" s="14"/>
      <c r="C456" s="729"/>
      <c r="D456" s="729"/>
      <c r="E456" s="718"/>
      <c r="F456" s="720"/>
      <c r="G456" s="602"/>
      <c r="H456" s="602"/>
      <c r="I456" s="602"/>
      <c r="J456" s="602"/>
      <c r="K456" s="602"/>
      <c r="L456" s="602"/>
      <c r="M456" s="602"/>
      <c r="N456" s="602"/>
      <c r="O456" s="602"/>
      <c r="P456" s="602"/>
      <c r="Q456" s="602"/>
      <c r="R456" s="602"/>
      <c r="S456" s="602"/>
      <c r="T456" s="602"/>
      <c r="U456" s="602"/>
      <c r="V456" s="602"/>
      <c r="W456" s="602"/>
      <c r="X456" s="602"/>
      <c r="Y456" s="602"/>
      <c r="Z456" s="602"/>
      <c r="AA456" s="602"/>
      <c r="AB456" s="602"/>
      <c r="AC456" s="602"/>
      <c r="AD456" s="602"/>
      <c r="AE456" s="590"/>
      <c r="AM456" s="569"/>
      <c r="AN456" s="534"/>
    </row>
    <row r="457" spans="1:40" s="549" customFormat="1" ht="12.75" customHeight="1">
      <c r="A457" s="535"/>
      <c r="B457" s="14"/>
      <c r="C457" s="2529" t="s">
        <v>592</v>
      </c>
      <c r="D457" s="2486"/>
      <c r="E457" s="714" t="s">
        <v>1504</v>
      </c>
      <c r="F457" s="2532" t="s">
        <v>1505</v>
      </c>
      <c r="G457" s="2532"/>
      <c r="H457" s="2532"/>
      <c r="I457" s="2532"/>
      <c r="J457" s="2532"/>
      <c r="K457" s="2532"/>
      <c r="L457" s="2532"/>
      <c r="M457" s="2532"/>
      <c r="N457" s="2532"/>
      <c r="O457" s="2532"/>
      <c r="P457" s="2532"/>
      <c r="Q457" s="2532"/>
      <c r="R457" s="2532"/>
      <c r="S457" s="2532"/>
      <c r="T457" s="2532"/>
      <c r="U457" s="2532"/>
      <c r="V457" s="2532"/>
      <c r="W457" s="2532"/>
      <c r="X457" s="2532"/>
      <c r="Y457" s="2532"/>
      <c r="Z457" s="2532"/>
      <c r="AA457" s="2532"/>
      <c r="AB457" s="2532"/>
      <c r="AC457" s="2532"/>
      <c r="AD457" s="2532"/>
      <c r="AE457" s="2532"/>
      <c r="AF457" s="2553" t="s">
        <v>1463</v>
      </c>
      <c r="AG457" s="2553"/>
      <c r="AH457" s="2553"/>
      <c r="AI457" s="2553"/>
      <c r="AJ457" s="2553"/>
      <c r="AK457" s="2553"/>
      <c r="AL457" s="2554"/>
      <c r="AM457" s="569"/>
      <c r="AN457" s="534"/>
    </row>
    <row r="458" spans="1:40" s="549" customFormat="1" ht="12.75" customHeight="1">
      <c r="A458" s="535"/>
      <c r="B458" s="14"/>
      <c r="C458" s="730"/>
      <c r="D458" s="14"/>
      <c r="E458" s="690"/>
      <c r="F458" s="2533"/>
      <c r="G458" s="2533"/>
      <c r="H458" s="2533"/>
      <c r="I458" s="2533"/>
      <c r="J458" s="2533"/>
      <c r="K458" s="2533"/>
      <c r="L458" s="2533"/>
      <c r="M458" s="2533"/>
      <c r="N458" s="2533"/>
      <c r="O458" s="2533"/>
      <c r="P458" s="2533"/>
      <c r="Q458" s="2533"/>
      <c r="R458" s="2533"/>
      <c r="S458" s="2533"/>
      <c r="T458" s="2533"/>
      <c r="U458" s="2533"/>
      <c r="V458" s="2533"/>
      <c r="W458" s="2533"/>
      <c r="X458" s="2533"/>
      <c r="Y458" s="2533"/>
      <c r="Z458" s="2533"/>
      <c r="AA458" s="2533"/>
      <c r="AB458" s="2533"/>
      <c r="AC458" s="2533"/>
      <c r="AD458" s="2533"/>
      <c r="AE458" s="2533"/>
      <c r="AF458" s="538"/>
      <c r="AG458" s="535"/>
      <c r="AL458" s="731"/>
      <c r="AM458" s="569"/>
      <c r="AN458" s="534"/>
    </row>
    <row r="459" spans="1:40" s="549" customFormat="1" ht="12.75" customHeight="1">
      <c r="A459" s="535"/>
      <c r="B459" s="14"/>
      <c r="C459" s="730"/>
      <c r="D459" s="14"/>
      <c r="E459" s="690"/>
      <c r="F459" s="2533"/>
      <c r="G459" s="2533"/>
      <c r="H459" s="2533"/>
      <c r="I459" s="2533"/>
      <c r="J459" s="2533"/>
      <c r="K459" s="2533"/>
      <c r="L459" s="2533"/>
      <c r="M459" s="2533"/>
      <c r="N459" s="2533"/>
      <c r="O459" s="2533"/>
      <c r="P459" s="2533"/>
      <c r="Q459" s="2533"/>
      <c r="R459" s="2533"/>
      <c r="S459" s="2533"/>
      <c r="T459" s="2533"/>
      <c r="U459" s="2533"/>
      <c r="V459" s="2533"/>
      <c r="W459" s="2533"/>
      <c r="X459" s="2533"/>
      <c r="Y459" s="2533"/>
      <c r="Z459" s="2533"/>
      <c r="AA459" s="2533"/>
      <c r="AB459" s="2533"/>
      <c r="AC459" s="2533"/>
      <c r="AD459" s="2533"/>
      <c r="AE459" s="2533"/>
      <c r="AF459" s="538"/>
      <c r="AG459" s="535"/>
      <c r="AL459" s="731"/>
      <c r="AM459" s="569"/>
      <c r="AN459" s="534"/>
    </row>
    <row r="460" spans="1:40" s="549" customFormat="1" ht="12.75" customHeight="1">
      <c r="A460" s="535"/>
      <c r="B460" s="14"/>
      <c r="C460" s="755"/>
      <c r="D460" s="722"/>
      <c r="E460" s="723"/>
      <c r="F460" s="2552"/>
      <c r="G460" s="2552"/>
      <c r="H460" s="2552"/>
      <c r="I460" s="2552"/>
      <c r="J460" s="2552"/>
      <c r="K460" s="2552"/>
      <c r="L460" s="2552"/>
      <c r="M460" s="2552"/>
      <c r="N460" s="2552"/>
      <c r="O460" s="2552"/>
      <c r="P460" s="2552"/>
      <c r="Q460" s="2552"/>
      <c r="R460" s="2552"/>
      <c r="S460" s="2552"/>
      <c r="T460" s="2552"/>
      <c r="U460" s="2552"/>
      <c r="V460" s="2552"/>
      <c r="W460" s="2552"/>
      <c r="X460" s="2552"/>
      <c r="Y460" s="2552"/>
      <c r="Z460" s="2552"/>
      <c r="AA460" s="2552"/>
      <c r="AB460" s="2552"/>
      <c r="AC460" s="2552"/>
      <c r="AD460" s="2552"/>
      <c r="AE460" s="2552"/>
      <c r="AF460" s="727"/>
      <c r="AG460" s="727"/>
      <c r="AH460" s="727"/>
      <c r="AI460" s="727"/>
      <c r="AJ460" s="727"/>
      <c r="AK460" s="727"/>
      <c r="AL460" s="756"/>
      <c r="AM460" s="569"/>
      <c r="AN460" s="596"/>
    </row>
    <row r="461" spans="1:40" s="549" customFormat="1" ht="12.75" customHeight="1">
      <c r="A461" s="535"/>
      <c r="B461" s="14"/>
      <c r="G461" s="602"/>
      <c r="H461" s="602"/>
      <c r="I461" s="602"/>
      <c r="J461" s="602"/>
      <c r="K461" s="602"/>
      <c r="L461" s="602"/>
      <c r="M461" s="602"/>
      <c r="N461" s="602"/>
      <c r="O461" s="602"/>
      <c r="P461" s="602"/>
      <c r="Q461" s="602"/>
      <c r="R461" s="602"/>
      <c r="S461" s="602"/>
      <c r="T461" s="602"/>
      <c r="U461" s="602"/>
      <c r="V461" s="602"/>
      <c r="W461" s="602"/>
      <c r="X461" s="602"/>
      <c r="Y461" s="602"/>
      <c r="Z461" s="602"/>
      <c r="AA461" s="602"/>
      <c r="AB461" s="602"/>
      <c r="AC461" s="602"/>
      <c r="AD461" s="602"/>
      <c r="AM461" s="569"/>
      <c r="AN461" s="596"/>
    </row>
    <row r="462" spans="1:40" s="549" customFormat="1" ht="12.75" customHeight="1">
      <c r="A462" s="535"/>
      <c r="B462" s="14"/>
      <c r="C462" s="712"/>
      <c r="D462" s="713"/>
      <c r="E462" s="714" t="s">
        <v>1507</v>
      </c>
      <c r="F462" s="2532" t="s">
        <v>1508</v>
      </c>
      <c r="G462" s="2532"/>
      <c r="H462" s="2532"/>
      <c r="I462" s="2532"/>
      <c r="J462" s="2532"/>
      <c r="K462" s="2532"/>
      <c r="L462" s="2532"/>
      <c r="M462" s="2532"/>
      <c r="N462" s="2532"/>
      <c r="O462" s="2532"/>
      <c r="P462" s="2532"/>
      <c r="Q462" s="2532"/>
      <c r="R462" s="2532"/>
      <c r="S462" s="2532"/>
      <c r="T462" s="2532"/>
      <c r="U462" s="2532"/>
      <c r="V462" s="2532"/>
      <c r="W462" s="2532"/>
      <c r="X462" s="2532"/>
      <c r="Y462" s="2532"/>
      <c r="Z462" s="2532"/>
      <c r="AA462" s="2532"/>
      <c r="AB462" s="2532"/>
      <c r="AC462" s="2532"/>
      <c r="AD462" s="2532"/>
      <c r="AE462" s="2532"/>
      <c r="AF462" s="2532"/>
      <c r="AG462" s="743"/>
      <c r="AH462" s="713"/>
      <c r="AI462" s="713"/>
      <c r="AJ462" s="713"/>
      <c r="AK462" s="713"/>
      <c r="AL462" s="744"/>
      <c r="AM462" s="569"/>
      <c r="AN462" s="596"/>
    </row>
    <row r="463" spans="1:40" s="549" customFormat="1" ht="12.75" customHeight="1">
      <c r="A463" s="535"/>
      <c r="B463" s="14"/>
      <c r="C463" s="730"/>
      <c r="D463" s="14"/>
      <c r="E463" s="690"/>
      <c r="F463" s="2533"/>
      <c r="G463" s="2533"/>
      <c r="H463" s="2533"/>
      <c r="I463" s="2533"/>
      <c r="J463" s="2533"/>
      <c r="K463" s="2533"/>
      <c r="L463" s="2533"/>
      <c r="M463" s="2533"/>
      <c r="N463" s="2533"/>
      <c r="O463" s="2533"/>
      <c r="P463" s="2533"/>
      <c r="Q463" s="2533"/>
      <c r="R463" s="2533"/>
      <c r="S463" s="2533"/>
      <c r="T463" s="2533"/>
      <c r="U463" s="2533"/>
      <c r="V463" s="2533"/>
      <c r="W463" s="2533"/>
      <c r="X463" s="2533"/>
      <c r="Y463" s="2533"/>
      <c r="Z463" s="2533"/>
      <c r="AA463" s="2533"/>
      <c r="AB463" s="2533"/>
      <c r="AC463" s="2533"/>
      <c r="AD463" s="2533"/>
      <c r="AE463" s="2533"/>
      <c r="AF463" s="2533"/>
      <c r="AL463" s="731"/>
      <c r="AM463" s="569"/>
      <c r="AN463" s="596"/>
    </row>
    <row r="464" spans="1:40" s="549" customFormat="1" ht="12.75" customHeight="1">
      <c r="A464" s="535"/>
      <c r="B464" s="14"/>
      <c r="C464" s="738"/>
      <c r="F464" s="2533"/>
      <c r="G464" s="2533"/>
      <c r="H464" s="2533"/>
      <c r="I464" s="2533"/>
      <c r="J464" s="2533"/>
      <c r="K464" s="2533"/>
      <c r="L464" s="2533"/>
      <c r="M464" s="2533"/>
      <c r="N464" s="2533"/>
      <c r="O464" s="2533"/>
      <c r="P464" s="2533"/>
      <c r="Q464" s="2533"/>
      <c r="R464" s="2533"/>
      <c r="S464" s="2533"/>
      <c r="T464" s="2533"/>
      <c r="U464" s="2533"/>
      <c r="V464" s="2533"/>
      <c r="W464" s="2533"/>
      <c r="X464" s="2533"/>
      <c r="Y464" s="2533"/>
      <c r="Z464" s="2533"/>
      <c r="AA464" s="2533"/>
      <c r="AB464" s="2533"/>
      <c r="AC464" s="2533"/>
      <c r="AD464" s="2533"/>
      <c r="AE464" s="2533"/>
      <c r="AF464" s="2533"/>
      <c r="AL464" s="731"/>
      <c r="AM464" s="569"/>
      <c r="AN464" s="596"/>
    </row>
    <row r="465" spans="1:58" s="549" customFormat="1" ht="12.75" customHeight="1">
      <c r="A465" s="535"/>
      <c r="B465" s="14"/>
      <c r="C465" s="738"/>
      <c r="F465" s="2533"/>
      <c r="G465" s="2533"/>
      <c r="H465" s="2533"/>
      <c r="I465" s="2533"/>
      <c r="J465" s="2533"/>
      <c r="K465" s="2533"/>
      <c r="L465" s="2533"/>
      <c r="M465" s="2533"/>
      <c r="N465" s="2533"/>
      <c r="O465" s="2533"/>
      <c r="P465" s="2533"/>
      <c r="Q465" s="2533"/>
      <c r="R465" s="2533"/>
      <c r="S465" s="2533"/>
      <c r="T465" s="2533"/>
      <c r="U465" s="2533"/>
      <c r="V465" s="2533"/>
      <c r="W465" s="2533"/>
      <c r="X465" s="2533"/>
      <c r="Y465" s="2533"/>
      <c r="Z465" s="2533"/>
      <c r="AA465" s="2533"/>
      <c r="AB465" s="2533"/>
      <c r="AC465" s="2533"/>
      <c r="AD465" s="2533"/>
      <c r="AE465" s="2533"/>
      <c r="AF465" s="2533"/>
      <c r="AL465" s="731"/>
      <c r="AM465" s="569"/>
      <c r="AN465" s="596"/>
    </row>
    <row r="466" spans="1:58" s="549" customFormat="1" ht="12.75" customHeight="1">
      <c r="A466" s="535"/>
      <c r="B466" s="14"/>
      <c r="C466" s="2529" t="s">
        <v>592</v>
      </c>
      <c r="D466" s="2486"/>
      <c r="E466" s="718"/>
      <c r="F466" s="720" t="s">
        <v>1480</v>
      </c>
      <c r="G466" s="602"/>
      <c r="H466" s="602"/>
      <c r="I466" s="602"/>
      <c r="J466" s="602"/>
      <c r="K466" s="602"/>
      <c r="L466" s="602"/>
      <c r="M466" s="602"/>
      <c r="N466" s="602"/>
      <c r="O466" s="602"/>
      <c r="P466" s="602"/>
      <c r="Q466" s="602"/>
      <c r="R466" s="602"/>
      <c r="S466" s="602"/>
      <c r="T466" s="602"/>
      <c r="U466" s="602"/>
      <c r="V466" s="602"/>
      <c r="W466" s="602"/>
      <c r="X466" s="602"/>
      <c r="Y466" s="602"/>
      <c r="Z466" s="602"/>
      <c r="AA466" s="602"/>
      <c r="AB466" s="602"/>
      <c r="AC466" s="602"/>
      <c r="AD466" s="602"/>
      <c r="AF466" s="2530" t="s">
        <v>1463</v>
      </c>
      <c r="AG466" s="2530"/>
      <c r="AH466" s="2530"/>
      <c r="AI466" s="2530"/>
      <c r="AJ466" s="2530"/>
      <c r="AK466" s="2530"/>
      <c r="AL466" s="2531"/>
      <c r="AM466" s="569"/>
      <c r="AN466" s="596"/>
    </row>
    <row r="467" spans="1:58" s="549" customFormat="1" ht="12.75" customHeight="1">
      <c r="A467" s="535"/>
      <c r="B467" s="14"/>
      <c r="C467" s="739"/>
      <c r="D467" s="732"/>
      <c r="E467" s="733"/>
      <c r="F467" s="726"/>
      <c r="G467" s="726"/>
      <c r="H467" s="726"/>
      <c r="I467" s="726"/>
      <c r="J467" s="726"/>
      <c r="K467" s="726"/>
      <c r="L467" s="726"/>
      <c r="M467" s="726"/>
      <c r="N467" s="726"/>
      <c r="O467" s="726"/>
      <c r="P467" s="726"/>
      <c r="Q467" s="726"/>
      <c r="R467" s="726"/>
      <c r="S467" s="726"/>
      <c r="T467" s="726"/>
      <c r="U467" s="726"/>
      <c r="V467" s="726"/>
      <c r="W467" s="726"/>
      <c r="X467" s="726"/>
      <c r="Y467" s="726"/>
      <c r="Z467" s="726"/>
      <c r="AA467" s="726"/>
      <c r="AB467" s="726"/>
      <c r="AC467" s="726"/>
      <c r="AD467" s="726"/>
      <c r="AE467" s="726"/>
      <c r="AF467" s="726"/>
      <c r="AG467" s="726"/>
      <c r="AH467" s="726"/>
      <c r="AI467" s="726"/>
      <c r="AJ467" s="726"/>
      <c r="AK467" s="726"/>
      <c r="AL467" s="741"/>
      <c r="AN467" s="596"/>
    </row>
    <row r="468" spans="1:58" s="549" customFormat="1" ht="12.75" customHeight="1">
      <c r="A468" s="535"/>
      <c r="B468" s="14"/>
      <c r="C468" s="1015"/>
      <c r="D468" s="569"/>
      <c r="F468" s="720"/>
      <c r="G468" s="602"/>
      <c r="H468" s="602"/>
      <c r="I468" s="602"/>
      <c r="J468" s="602"/>
      <c r="K468" s="602"/>
      <c r="L468" s="602"/>
      <c r="M468" s="602"/>
      <c r="N468" s="602"/>
      <c r="O468" s="602"/>
      <c r="P468" s="602"/>
      <c r="Q468" s="602"/>
      <c r="R468" s="602"/>
      <c r="S468" s="602"/>
      <c r="T468" s="602"/>
      <c r="U468" s="602"/>
      <c r="V468" s="602"/>
      <c r="W468" s="602"/>
      <c r="X468" s="602"/>
      <c r="Y468" s="602"/>
      <c r="Z468" s="602"/>
      <c r="AA468" s="602"/>
      <c r="AB468" s="602"/>
      <c r="AC468" s="602"/>
      <c r="AD468" s="602"/>
      <c r="AF468" s="612"/>
      <c r="AG468" s="612"/>
      <c r="AH468" s="612"/>
      <c r="AI468" s="612"/>
      <c r="AJ468" s="612"/>
      <c r="AK468" s="612"/>
      <c r="AL468" s="612"/>
      <c r="AN468" s="596"/>
    </row>
    <row r="469" spans="1:58" s="549" customFormat="1" ht="12.75" customHeight="1">
      <c r="A469" s="599"/>
      <c r="B469" s="856" t="s">
        <v>1509</v>
      </c>
      <c r="D469" s="676"/>
      <c r="E469" s="600"/>
      <c r="F469" s="600"/>
      <c r="G469" s="600"/>
      <c r="H469" s="600"/>
      <c r="I469" s="600"/>
      <c r="J469" s="600"/>
      <c r="K469" s="600"/>
      <c r="L469" s="600"/>
      <c r="M469" s="600"/>
      <c r="N469" s="600"/>
      <c r="O469" s="600"/>
      <c r="P469" s="600"/>
      <c r="Q469" s="600"/>
      <c r="R469" s="600"/>
      <c r="S469" s="600"/>
      <c r="T469" s="600"/>
      <c r="U469" s="600"/>
      <c r="V469" s="600"/>
      <c r="W469" s="600"/>
      <c r="X469" s="600"/>
      <c r="Y469" s="600"/>
      <c r="Z469" s="600"/>
      <c r="AA469" s="600"/>
      <c r="AB469" s="600"/>
      <c r="AC469" s="600"/>
      <c r="AD469" s="600"/>
      <c r="AE469" s="563"/>
      <c r="AF469" s="563"/>
      <c r="AG469" s="563"/>
      <c r="AH469" s="563"/>
      <c r="AI469" s="564"/>
      <c r="AJ469" s="564" t="s">
        <v>1510</v>
      </c>
      <c r="AK469" s="2489">
        <f>IF(Application!D214="N/A",AS358,AS360)</f>
        <v>10</v>
      </c>
      <c r="AL469" s="2490"/>
      <c r="AM469" s="2491"/>
      <c r="AN469" s="596"/>
    </row>
    <row r="470" spans="1:58" s="549" customFormat="1" ht="12.75" customHeight="1" thickBot="1">
      <c r="A470" s="758"/>
      <c r="B470" s="758"/>
      <c r="C470" s="758"/>
      <c r="D470" s="758"/>
      <c r="E470" s="758"/>
      <c r="F470" s="758"/>
      <c r="G470" s="758"/>
      <c r="H470" s="758"/>
      <c r="I470" s="758"/>
      <c r="J470" s="758"/>
      <c r="K470" s="758"/>
      <c r="L470" s="758"/>
      <c r="M470" s="758"/>
      <c r="N470" s="758"/>
      <c r="O470" s="758"/>
      <c r="P470" s="758"/>
      <c r="Q470" s="758"/>
      <c r="R470" s="758"/>
      <c r="S470" s="758"/>
      <c r="T470" s="758"/>
      <c r="U470" s="758"/>
      <c r="V470" s="758"/>
      <c r="W470" s="758"/>
      <c r="X470" s="758"/>
      <c r="Y470" s="758"/>
      <c r="Z470" s="758"/>
      <c r="AA470" s="758"/>
      <c r="AB470" s="758"/>
      <c r="AC470" s="758"/>
      <c r="AD470" s="758"/>
      <c r="AE470" s="758"/>
      <c r="AF470" s="758"/>
      <c r="AG470" s="758"/>
      <c r="AH470" s="758"/>
      <c r="AI470" s="758"/>
      <c r="AJ470" s="758"/>
      <c r="AK470" s="758"/>
      <c r="AL470" s="758"/>
      <c r="AM470" s="759"/>
      <c r="AN470" s="596"/>
    </row>
    <row r="471" spans="1:58" s="549" customFormat="1" ht="12.75" hidden="1" customHeight="1" thickTop="1">
      <c r="A471" s="86"/>
      <c r="B471" s="570"/>
      <c r="C471" s="571"/>
      <c r="D471" s="571"/>
      <c r="E471" s="571"/>
      <c r="F471" s="571"/>
      <c r="G471" s="571"/>
      <c r="H471" s="571"/>
      <c r="I471" s="572"/>
      <c r="J471" s="572"/>
      <c r="K471" s="572"/>
      <c r="L471" s="572"/>
      <c r="M471" s="572"/>
      <c r="N471" s="572"/>
      <c r="O471" s="572"/>
      <c r="P471" s="572"/>
      <c r="Q471" s="572"/>
      <c r="R471" s="569"/>
      <c r="S471" s="538"/>
      <c r="T471" s="538"/>
      <c r="U471" s="538"/>
      <c r="V471" s="538"/>
      <c r="W471" s="538"/>
      <c r="X471" s="538"/>
      <c r="Y471" s="538"/>
      <c r="Z471" s="538"/>
      <c r="AA471" s="538"/>
      <c r="AB471" s="538"/>
      <c r="AC471" s="538"/>
      <c r="AD471" s="538"/>
      <c r="AE471" s="538"/>
      <c r="AF471" s="569"/>
      <c r="AG471" s="538"/>
      <c r="AH471" s="538"/>
      <c r="AI471" s="538"/>
      <c r="AJ471" s="538"/>
      <c r="AM471" s="14"/>
      <c r="AN471" s="596"/>
      <c r="AO471" s="549" t="s">
        <v>592</v>
      </c>
      <c r="AP471" s="549">
        <v>0</v>
      </c>
      <c r="AT471" s="549" t="s">
        <v>592</v>
      </c>
      <c r="AU471" s="549">
        <v>0</v>
      </c>
      <c r="AV471" s="751"/>
    </row>
    <row r="472" spans="1:58" s="549" customFormat="1" ht="12.75" hidden="1" customHeight="1">
      <c r="A472" s="538" t="s">
        <v>1511</v>
      </c>
      <c r="C472" s="538"/>
      <c r="E472" s="595"/>
      <c r="AE472" s="2530" t="s">
        <v>1512</v>
      </c>
      <c r="AF472" s="2530"/>
      <c r="AG472" s="2530"/>
      <c r="AH472" s="2530"/>
      <c r="AI472" s="2530"/>
      <c r="AJ472" s="2530"/>
      <c r="AK472" s="2530"/>
      <c r="AL472" s="590"/>
      <c r="AN472" s="596"/>
      <c r="AO472" s="549" t="s">
        <v>1490</v>
      </c>
      <c r="AP472" s="549">
        <v>5</v>
      </c>
      <c r="AT472" s="549" t="s">
        <v>1490</v>
      </c>
      <c r="AU472" s="549">
        <v>5</v>
      </c>
      <c r="AV472" s="751"/>
    </row>
    <row r="473" spans="1:58" s="549" customFormat="1" ht="12.75" hidden="1" customHeight="1">
      <c r="A473" s="538"/>
      <c r="B473" s="535" t="s">
        <v>1513</v>
      </c>
      <c r="C473" s="538"/>
      <c r="E473" s="595"/>
      <c r="AE473" s="590"/>
      <c r="AF473" s="590"/>
      <c r="AG473" s="590"/>
      <c r="AH473" s="590"/>
      <c r="AI473" s="590"/>
      <c r="AJ473" s="590"/>
      <c r="AK473" s="590"/>
      <c r="AL473" s="590"/>
      <c r="AN473" s="596"/>
      <c r="AO473" s="549" t="s">
        <v>1514</v>
      </c>
      <c r="AP473" s="549">
        <v>5</v>
      </c>
      <c r="AT473" s="549" t="s">
        <v>1491</v>
      </c>
      <c r="AU473" s="549">
        <v>5</v>
      </c>
      <c r="AV473" s="751"/>
    </row>
    <row r="474" spans="1:58" s="549" customFormat="1" ht="12.75" hidden="1" customHeight="1">
      <c r="A474" s="538"/>
      <c r="B474" s="538" t="s">
        <v>1515</v>
      </c>
      <c r="C474" s="538"/>
      <c r="E474" s="595"/>
      <c r="AE474" s="590"/>
      <c r="AF474" s="590"/>
      <c r="AG474" s="590"/>
      <c r="AH474" s="590"/>
      <c r="AI474" s="590"/>
      <c r="AJ474" s="590"/>
      <c r="AK474" s="590"/>
      <c r="AL474" s="590"/>
      <c r="AN474" s="596"/>
      <c r="AO474" s="549" t="s">
        <v>1492</v>
      </c>
      <c r="AP474" s="549">
        <v>5</v>
      </c>
      <c r="AQ474" s="538"/>
      <c r="AR474" s="538"/>
      <c r="AS474" s="754"/>
      <c r="AT474" s="549" t="s">
        <v>1492</v>
      </c>
      <c r="AU474" s="549">
        <v>5</v>
      </c>
      <c r="AV474" s="535"/>
    </row>
    <row r="475" spans="1:58" s="549" customFormat="1" ht="12.75" hidden="1" customHeight="1">
      <c r="A475" s="538"/>
      <c r="B475" s="538" t="s">
        <v>1516</v>
      </c>
      <c r="C475" s="538"/>
      <c r="E475" s="595"/>
      <c r="AE475" s="590"/>
      <c r="AF475" s="590"/>
      <c r="AG475" s="590"/>
      <c r="AH475" s="590"/>
      <c r="AI475" s="590"/>
      <c r="AJ475" s="590"/>
      <c r="AK475" s="590"/>
      <c r="AL475" s="590"/>
      <c r="AN475" s="596"/>
      <c r="AO475" s="549" t="s">
        <v>1494</v>
      </c>
      <c r="AP475" s="549">
        <v>5</v>
      </c>
      <c r="AQ475" s="538"/>
      <c r="AR475" s="538"/>
      <c r="AT475" s="549" t="s">
        <v>1494</v>
      </c>
      <c r="AU475" s="549">
        <v>5</v>
      </c>
    </row>
    <row r="476" spans="1:58" s="549" customFormat="1" ht="12.75" hidden="1" customHeight="1">
      <c r="A476" s="538"/>
      <c r="C476" s="538"/>
      <c r="E476" s="595"/>
      <c r="AE476" s="590"/>
      <c r="AF476" s="590"/>
      <c r="AG476" s="590"/>
      <c r="AH476" s="590"/>
      <c r="AI476" s="590"/>
      <c r="AJ476" s="590"/>
      <c r="AK476" s="590"/>
      <c r="AL476" s="590"/>
      <c r="AN476" s="596"/>
      <c r="AO476" s="549" t="s">
        <v>1495</v>
      </c>
      <c r="AP476" s="549">
        <v>5</v>
      </c>
      <c r="AQ476" s="538"/>
      <c r="AR476" s="538"/>
      <c r="AT476" s="549" t="s">
        <v>1495</v>
      </c>
      <c r="AU476" s="549">
        <v>5</v>
      </c>
    </row>
    <row r="477" spans="1:58" s="549" customFormat="1" ht="12.75" hidden="1" customHeight="1">
      <c r="A477" s="538"/>
      <c r="C477" s="711" t="s">
        <v>1517</v>
      </c>
      <c r="D477" s="569"/>
      <c r="AE477" s="590"/>
      <c r="AF477" s="590"/>
      <c r="AG477" s="595"/>
      <c r="AH477" s="595"/>
      <c r="AI477" s="595"/>
      <c r="AJ477" s="595"/>
      <c r="AK477" s="595"/>
      <c r="AL477" s="595"/>
      <c r="AN477" s="596"/>
      <c r="AO477" s="549" t="s">
        <v>1496</v>
      </c>
      <c r="AP477" s="549">
        <v>5</v>
      </c>
      <c r="AT477" s="549" t="s">
        <v>1496</v>
      </c>
      <c r="AU477" s="549">
        <v>5</v>
      </c>
    </row>
    <row r="478" spans="1:58" s="549" customFormat="1" ht="12.75" hidden="1" customHeight="1">
      <c r="A478" s="538"/>
      <c r="C478" s="2555" t="s">
        <v>592</v>
      </c>
      <c r="D478" s="2556"/>
      <c r="E478" s="760" t="s">
        <v>508</v>
      </c>
      <c r="F478" s="2557" t="s">
        <v>1518</v>
      </c>
      <c r="G478" s="2557"/>
      <c r="H478" s="2557"/>
      <c r="I478" s="2557"/>
      <c r="J478" s="2557"/>
      <c r="K478" s="2557"/>
      <c r="L478" s="2557"/>
      <c r="M478" s="2557"/>
      <c r="N478" s="2557"/>
      <c r="O478" s="2557"/>
      <c r="P478" s="2557"/>
      <c r="Q478" s="2557"/>
      <c r="R478" s="2557"/>
      <c r="S478" s="2557"/>
      <c r="T478" s="2557"/>
      <c r="U478" s="2557"/>
      <c r="V478" s="2557"/>
      <c r="W478" s="2557"/>
      <c r="X478" s="2557"/>
      <c r="Y478" s="2557"/>
      <c r="Z478" s="2557"/>
      <c r="AA478" s="2557"/>
      <c r="AB478" s="2557"/>
      <c r="AC478" s="2557"/>
      <c r="AD478" s="2557"/>
      <c r="AE478" s="2557"/>
      <c r="AF478" s="713"/>
      <c r="AG478" s="713"/>
      <c r="AH478" s="713"/>
      <c r="AI478" s="713"/>
      <c r="AJ478" s="713"/>
      <c r="AK478" s="744"/>
      <c r="AN478" s="596"/>
      <c r="AO478" s="549" t="s">
        <v>1519</v>
      </c>
      <c r="AP478" s="549">
        <v>5</v>
      </c>
      <c r="AS478" s="757"/>
      <c r="AT478" s="549" t="s">
        <v>1497</v>
      </c>
      <c r="AU478" s="549">
        <v>5</v>
      </c>
    </row>
    <row r="479" spans="1:58" s="549" customFormat="1" ht="12.75" hidden="1" customHeight="1">
      <c r="C479" s="761"/>
      <c r="E479" s="762"/>
      <c r="F479" s="2558"/>
      <c r="G479" s="2558"/>
      <c r="H479" s="2558"/>
      <c r="I479" s="2558"/>
      <c r="J479" s="2558"/>
      <c r="K479" s="2558"/>
      <c r="L479" s="2558"/>
      <c r="M479" s="2558"/>
      <c r="N479" s="2558"/>
      <c r="O479" s="2558"/>
      <c r="P479" s="2558"/>
      <c r="Q479" s="2558"/>
      <c r="R479" s="2558"/>
      <c r="S479" s="2558"/>
      <c r="T479" s="2558"/>
      <c r="U479" s="2558"/>
      <c r="V479" s="2558"/>
      <c r="W479" s="2558"/>
      <c r="X479" s="2558"/>
      <c r="Y479" s="2558"/>
      <c r="Z479" s="2558"/>
      <c r="AA479" s="2558"/>
      <c r="AB479" s="2558"/>
      <c r="AC479" s="2558"/>
      <c r="AD479" s="2558"/>
      <c r="AE479" s="2558"/>
      <c r="AG479" s="550"/>
      <c r="AH479" s="550"/>
      <c r="AI479" s="550"/>
      <c r="AJ479" s="550"/>
      <c r="AK479" s="731"/>
      <c r="AN479" s="596"/>
      <c r="AO479" s="549" t="s">
        <v>1500</v>
      </c>
      <c r="AP479" s="549">
        <v>1</v>
      </c>
      <c r="AT479" s="549" t="s">
        <v>1500</v>
      </c>
      <c r="AU479" s="549">
        <v>1</v>
      </c>
    </row>
    <row r="480" spans="1:58" s="549" customFormat="1" ht="12.75" hidden="1" customHeight="1">
      <c r="C480" s="763"/>
      <c r="D480" s="726"/>
      <c r="E480" s="764"/>
      <c r="F480" s="2631" t="s">
        <v>592</v>
      </c>
      <c r="G480" s="2631"/>
      <c r="H480" s="2631"/>
      <c r="I480" s="2631"/>
      <c r="J480" s="2631"/>
      <c r="K480" s="2631"/>
      <c r="L480" s="2631"/>
      <c r="M480" s="2631"/>
      <c r="N480" s="2631"/>
      <c r="O480" s="2631"/>
      <c r="P480" s="2631"/>
      <c r="Q480" s="2631"/>
      <c r="R480" s="2631"/>
      <c r="S480" s="2631"/>
      <c r="T480" s="2631"/>
      <c r="U480" s="2631"/>
      <c r="V480" s="2631"/>
      <c r="W480" s="2631"/>
      <c r="X480" s="2631"/>
      <c r="Y480" s="2631"/>
      <c r="Z480" s="2631"/>
      <c r="AA480" s="765"/>
      <c r="AB480" s="657"/>
      <c r="AC480" s="657"/>
      <c r="AD480" s="726"/>
      <c r="AE480" s="726"/>
      <c r="AF480" s="726"/>
      <c r="AG480" s="766">
        <f>IF($C$478="Yes",(VLOOKUP($F$480,$AT$471:$AU$479,2,FALSE)),0)</f>
        <v>0</v>
      </c>
      <c r="AH480" s="767" t="s">
        <v>1329</v>
      </c>
      <c r="AI480" s="766"/>
      <c r="AJ480" s="766"/>
      <c r="AK480" s="741"/>
      <c r="AN480" s="596"/>
      <c r="AS480" s="754"/>
      <c r="AX480" s="754"/>
      <c r="BB480" s="754" t="s">
        <v>1501</v>
      </c>
      <c r="BF480" s="754" t="s">
        <v>1502</v>
      </c>
    </row>
    <row r="481" spans="1:81" s="549" customFormat="1" ht="12.75" hidden="1" customHeight="1">
      <c r="C481" s="550"/>
      <c r="E481" s="762"/>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69"/>
      <c r="AB481" s="550"/>
      <c r="AC481" s="550"/>
      <c r="AG481" s="550"/>
      <c r="AH481" s="550"/>
      <c r="AI481" s="550"/>
      <c r="AJ481" s="550"/>
      <c r="AN481" s="596"/>
      <c r="AO481" s="549" t="s">
        <v>592</v>
      </c>
      <c r="AP481" s="636">
        <v>0</v>
      </c>
      <c r="AT481" s="549" t="s">
        <v>592</v>
      </c>
      <c r="AU481" s="636">
        <v>0</v>
      </c>
      <c r="AW481" s="549" t="s">
        <v>592</v>
      </c>
      <c r="AX481" s="636">
        <v>0</v>
      </c>
      <c r="AY481" s="592"/>
      <c r="BB481" s="549" t="s">
        <v>592</v>
      </c>
      <c r="BC481" s="592">
        <v>0</v>
      </c>
      <c r="BF481" s="549" t="s">
        <v>592</v>
      </c>
      <c r="BG481" s="592">
        <v>0</v>
      </c>
    </row>
    <row r="482" spans="1:81" s="549" customFormat="1" ht="12.75" hidden="1" customHeight="1">
      <c r="C482" s="2632" t="s">
        <v>546</v>
      </c>
      <c r="D482" s="2633"/>
      <c r="E482" s="760" t="s">
        <v>758</v>
      </c>
      <c r="F482" s="768" t="s">
        <v>1520</v>
      </c>
      <c r="G482" s="648"/>
      <c r="H482" s="648"/>
      <c r="I482" s="648"/>
      <c r="J482" s="648"/>
      <c r="K482" s="648"/>
      <c r="L482" s="648"/>
      <c r="M482" s="648"/>
      <c r="N482" s="648"/>
      <c r="O482" s="648"/>
      <c r="P482" s="648"/>
      <c r="Q482" s="648"/>
      <c r="R482" s="648"/>
      <c r="S482" s="648"/>
      <c r="T482" s="648"/>
      <c r="U482" s="648"/>
      <c r="V482" s="648"/>
      <c r="W482" s="648"/>
      <c r="X482" s="648"/>
      <c r="Y482" s="648"/>
      <c r="Z482" s="648"/>
      <c r="AA482" s="648"/>
      <c r="AB482" s="648"/>
      <c r="AC482" s="648"/>
      <c r="AD482" s="713"/>
      <c r="AE482" s="713"/>
      <c r="AF482" s="713"/>
      <c r="AG482" s="648"/>
      <c r="AH482" s="648"/>
      <c r="AI482" s="648"/>
      <c r="AJ482" s="648"/>
      <c r="AK482" s="744"/>
      <c r="AN482" s="596"/>
      <c r="AO482" s="757">
        <v>0.15</v>
      </c>
      <c r="AP482" s="636">
        <v>3</v>
      </c>
      <c r="AT482" s="757">
        <v>7.0000000000000007E-2</v>
      </c>
      <c r="AU482" s="636">
        <v>3</v>
      </c>
      <c r="AW482" s="549" t="s">
        <v>1503</v>
      </c>
      <c r="AX482" s="636">
        <v>3</v>
      </c>
      <c r="AY482" s="592"/>
      <c r="BB482" s="757">
        <v>0.4</v>
      </c>
      <c r="BC482" s="592">
        <v>3</v>
      </c>
      <c r="BF482" s="757">
        <v>0.4</v>
      </c>
      <c r="BG482" s="592">
        <v>4</v>
      </c>
    </row>
    <row r="483" spans="1:81" s="549" customFormat="1" ht="12.75" hidden="1" customHeight="1">
      <c r="C483" s="769" t="s">
        <v>1521</v>
      </c>
      <c r="F483" s="770" t="s">
        <v>1522</v>
      </c>
      <c r="G483" s="550"/>
      <c r="H483" s="550"/>
      <c r="I483" s="550"/>
      <c r="J483" s="550"/>
      <c r="K483" s="550"/>
      <c r="L483" s="550"/>
      <c r="M483" s="550"/>
      <c r="N483" s="550"/>
      <c r="O483" s="550"/>
      <c r="P483" s="550"/>
      <c r="Q483" s="550"/>
      <c r="R483" s="550"/>
      <c r="S483" s="550"/>
      <c r="T483" s="550"/>
      <c r="U483" s="550"/>
      <c r="V483" s="550"/>
      <c r="W483" s="550"/>
      <c r="X483" s="550"/>
      <c r="Y483" s="550"/>
      <c r="Z483" s="550"/>
      <c r="AA483" s="550"/>
      <c r="AB483" s="550"/>
      <c r="AC483" s="590"/>
      <c r="AG483" s="612"/>
      <c r="AH483" s="612"/>
      <c r="AI483" s="612"/>
      <c r="AJ483" s="612"/>
      <c r="AK483" s="731"/>
      <c r="AN483" s="596"/>
      <c r="AO483" s="757">
        <v>0.2</v>
      </c>
      <c r="AP483" s="636">
        <v>5</v>
      </c>
      <c r="AT483" s="757">
        <v>0.12</v>
      </c>
      <c r="AU483" s="636">
        <v>5</v>
      </c>
      <c r="AW483" s="549" t="s">
        <v>1506</v>
      </c>
      <c r="AX483" s="636">
        <v>5</v>
      </c>
      <c r="AY483" s="592"/>
      <c r="BB483" s="757">
        <v>0.6</v>
      </c>
      <c r="BC483" s="592">
        <v>4</v>
      </c>
      <c r="BF483" s="757">
        <v>0.6</v>
      </c>
      <c r="BG483" s="592">
        <v>5</v>
      </c>
    </row>
    <row r="484" spans="1:81" s="549" customFormat="1" ht="12.75" hidden="1" customHeight="1">
      <c r="C484" s="750"/>
      <c r="D484" s="729"/>
      <c r="E484" s="771"/>
      <c r="F484" s="770" t="s">
        <v>1523</v>
      </c>
      <c r="G484" s="770"/>
      <c r="H484" s="770"/>
      <c r="I484" s="770"/>
      <c r="J484" s="770"/>
      <c r="K484" s="770"/>
      <c r="L484" s="770"/>
      <c r="M484" s="770"/>
      <c r="N484" s="770"/>
      <c r="O484" s="770"/>
      <c r="P484" s="770"/>
      <c r="Q484" s="770"/>
      <c r="R484" s="770"/>
      <c r="S484" s="770"/>
      <c r="T484" s="770"/>
      <c r="U484" s="770"/>
      <c r="V484" s="770"/>
      <c r="W484" s="770"/>
      <c r="X484" s="770"/>
      <c r="Y484" s="770"/>
      <c r="Z484" s="770"/>
      <c r="AA484" s="770"/>
      <c r="AB484" s="770"/>
      <c r="AC484" s="772"/>
      <c r="AD484" s="608"/>
      <c r="AE484" s="608"/>
      <c r="AF484" s="608"/>
      <c r="AG484" s="773"/>
      <c r="AH484" s="612"/>
      <c r="AI484" s="612"/>
      <c r="AJ484" s="612"/>
      <c r="AK484" s="731"/>
      <c r="AN484" s="677"/>
      <c r="AO484" s="757"/>
      <c r="AP484" s="592"/>
      <c r="AT484" s="757"/>
      <c r="AU484" s="592"/>
      <c r="AX484" s="757"/>
      <c r="AY484" s="592"/>
      <c r="BB484" s="757">
        <v>0.8</v>
      </c>
      <c r="BC484" s="592">
        <v>5</v>
      </c>
      <c r="BF484" s="757"/>
      <c r="BG484" s="592"/>
    </row>
    <row r="485" spans="1:81" s="595" customFormat="1" ht="12.75" hidden="1" customHeight="1">
      <c r="A485" s="636"/>
      <c r="B485" s="549"/>
      <c r="C485" s="761"/>
      <c r="D485" s="549"/>
      <c r="E485" s="762"/>
      <c r="F485" s="774" t="s">
        <v>1524</v>
      </c>
      <c r="G485" s="549"/>
      <c r="H485" s="549"/>
      <c r="I485" s="770"/>
      <c r="J485" s="770"/>
      <c r="K485" s="770"/>
      <c r="L485" s="770"/>
      <c r="M485" s="770"/>
      <c r="N485" s="770"/>
      <c r="O485" s="770"/>
      <c r="P485" s="770"/>
      <c r="Q485" s="770"/>
      <c r="R485" s="770"/>
      <c r="S485" s="770"/>
      <c r="T485" s="770"/>
      <c r="U485" s="770"/>
      <c r="V485" s="2630" t="s">
        <v>592</v>
      </c>
      <c r="W485" s="2630"/>
      <c r="X485" s="2630"/>
      <c r="Y485" s="770"/>
      <c r="Z485" s="770"/>
      <c r="AA485" s="770"/>
      <c r="AB485" s="770"/>
      <c r="AC485" s="770"/>
      <c r="AD485" s="608"/>
      <c r="AE485" s="608"/>
      <c r="AF485" s="608"/>
      <c r="AG485" s="612">
        <f>IF(AND($C$482="Yes",$V$487="N/A",$V$492="N/A",$V$496="N/A",$V$498="N/A"),(VLOOKUP(V485,$AW$481:$AX$483,2,FALSE)),0)</f>
        <v>0</v>
      </c>
      <c r="AH485" s="639" t="s">
        <v>1329</v>
      </c>
      <c r="AI485" s="550"/>
      <c r="AJ485" s="550"/>
      <c r="AK485" s="731"/>
      <c r="AL485" s="549"/>
      <c r="AM485" s="549"/>
      <c r="AN485" s="596"/>
      <c r="AT485" s="549" t="s">
        <v>592</v>
      </c>
      <c r="AU485" s="636">
        <v>0</v>
      </c>
      <c r="AV485" s="549"/>
      <c r="AW485" s="549"/>
      <c r="AX485" s="549"/>
      <c r="AY485" s="549"/>
      <c r="AZ485" s="549"/>
      <c r="BA485" s="549"/>
      <c r="BB485" s="757"/>
      <c r="BC485" s="592"/>
      <c r="BD485" s="549"/>
      <c r="BE485" s="549"/>
      <c r="BF485" s="549"/>
      <c r="BG485" s="549"/>
    </row>
    <row r="486" spans="1:81" s="595" customFormat="1" ht="12.75" hidden="1" customHeight="1">
      <c r="A486" s="636"/>
      <c r="B486" s="549"/>
      <c r="C486" s="761"/>
      <c r="D486" s="549"/>
      <c r="E486" s="762"/>
      <c r="F486" s="774"/>
      <c r="G486" s="549"/>
      <c r="H486" s="549"/>
      <c r="I486" s="770"/>
      <c r="J486" s="770"/>
      <c r="K486" s="770"/>
      <c r="L486" s="770"/>
      <c r="M486" s="770"/>
      <c r="N486" s="770"/>
      <c r="O486" s="770"/>
      <c r="P486" s="770"/>
      <c r="Q486" s="770"/>
      <c r="R486" s="770"/>
      <c r="S486" s="770"/>
      <c r="T486" s="770"/>
      <c r="U486" s="770"/>
      <c r="V486" s="770"/>
      <c r="W486" s="770"/>
      <c r="X486" s="770"/>
      <c r="Y486" s="770"/>
      <c r="Z486" s="770"/>
      <c r="AA486" s="770"/>
      <c r="AB486" s="770"/>
      <c r="AC486" s="770"/>
      <c r="AD486" s="608"/>
      <c r="AE486" s="608"/>
      <c r="AF486" s="608"/>
      <c r="AG486" s="612"/>
      <c r="AH486" s="639"/>
      <c r="AI486" s="550"/>
      <c r="AJ486" s="550"/>
      <c r="AK486" s="731"/>
      <c r="AL486" s="549"/>
      <c r="AM486" s="549"/>
      <c r="AN486" s="596"/>
      <c r="AT486" s="757">
        <v>0.09</v>
      </c>
      <c r="AU486" s="636">
        <v>3</v>
      </c>
      <c r="AV486" s="549"/>
      <c r="AW486" s="549"/>
      <c r="AX486" s="754"/>
      <c r="AY486" s="549"/>
      <c r="AZ486" s="549"/>
      <c r="BA486" s="549"/>
      <c r="BB486" s="549"/>
      <c r="BC486" s="549"/>
      <c r="BD486" s="549"/>
      <c r="BE486" s="549"/>
      <c r="BF486" s="549"/>
      <c r="BG486" s="549"/>
    </row>
    <row r="487" spans="1:81" s="595" customFormat="1" ht="12.75" hidden="1" customHeight="1">
      <c r="A487" s="636"/>
      <c r="B487" s="549"/>
      <c r="C487" s="761"/>
      <c r="D487" s="549"/>
      <c r="E487" s="762"/>
      <c r="F487" s="774" t="s">
        <v>1525</v>
      </c>
      <c r="G487" s="549"/>
      <c r="H487" s="549"/>
      <c r="I487" s="770"/>
      <c r="J487" s="770"/>
      <c r="K487" s="770"/>
      <c r="L487" s="770"/>
      <c r="M487" s="770"/>
      <c r="N487" s="770"/>
      <c r="O487" s="770"/>
      <c r="P487" s="770"/>
      <c r="Q487" s="770"/>
      <c r="R487" s="770"/>
      <c r="S487" s="770"/>
      <c r="T487" s="770"/>
      <c r="U487" s="770"/>
      <c r="V487" s="2630" t="s">
        <v>592</v>
      </c>
      <c r="W487" s="2630"/>
      <c r="X487" s="2630"/>
      <c r="Y487" s="770"/>
      <c r="Z487" s="770"/>
      <c r="AA487" s="770"/>
      <c r="AB487" s="770"/>
      <c r="AC487" s="770"/>
      <c r="AD487" s="608"/>
      <c r="AE487" s="608"/>
      <c r="AF487" s="608"/>
      <c r="AG487" s="612">
        <f>IF(AND($C$482="Yes",$V$485="N/A", $V$492="N/A",$V$496="N/A",$V$498="N/A"),(VLOOKUP(V487,$AT$481:$AU$483,2,FALSE)),0)</f>
        <v>0</v>
      </c>
      <c r="AH487" s="639" t="s">
        <v>1329</v>
      </c>
      <c r="AI487" s="550"/>
      <c r="AJ487" s="550"/>
      <c r="AK487" s="731"/>
      <c r="AL487" s="549"/>
      <c r="AM487" s="549"/>
      <c r="AN487" s="596"/>
      <c r="AT487" s="757">
        <v>0.15</v>
      </c>
      <c r="AU487" s="636">
        <v>5</v>
      </c>
      <c r="AV487" s="549"/>
      <c r="AW487" s="549"/>
      <c r="AX487" s="549"/>
      <c r="AY487" s="549"/>
      <c r="AZ487" s="549"/>
      <c r="BA487" s="549"/>
      <c r="BB487" s="549"/>
      <c r="BC487" s="549"/>
      <c r="BD487" s="549"/>
      <c r="BE487" s="549"/>
      <c r="BF487" s="549"/>
      <c r="BG487" s="549"/>
    </row>
    <row r="488" spans="1:81" s="549" customFormat="1" ht="12.75" hidden="1" customHeight="1">
      <c r="C488" s="761"/>
      <c r="E488" s="762"/>
      <c r="F488" s="595"/>
      <c r="G488" s="775"/>
      <c r="H488" s="775"/>
      <c r="I488" s="775"/>
      <c r="J488" s="775"/>
      <c r="K488" s="775"/>
      <c r="L488" s="775"/>
      <c r="M488" s="775"/>
      <c r="N488" s="775"/>
      <c r="O488" s="775"/>
      <c r="P488" s="775"/>
      <c r="Q488" s="550"/>
      <c r="R488" s="550"/>
      <c r="S488" s="550"/>
      <c r="T488" s="550"/>
      <c r="U488" s="550"/>
      <c r="V488" s="550"/>
      <c r="W488" s="550"/>
      <c r="X488" s="550"/>
      <c r="Y488" s="550"/>
      <c r="Z488" s="550"/>
      <c r="AA488" s="550"/>
      <c r="AB488" s="550"/>
      <c r="AC488" s="550"/>
      <c r="AG488" s="595"/>
      <c r="AH488" s="595"/>
      <c r="AI488" s="595"/>
      <c r="AJ488" s="595"/>
      <c r="AK488" s="731"/>
      <c r="AN488" s="596"/>
      <c r="AO488" s="549" t="s">
        <v>592</v>
      </c>
      <c r="AP488" s="549">
        <v>0</v>
      </c>
    </row>
    <row r="489" spans="1:81" s="549" customFormat="1" ht="12.75" hidden="1" customHeight="1">
      <c r="C489" s="761"/>
      <c r="E489" s="762"/>
      <c r="F489" s="775" t="s">
        <v>1526</v>
      </c>
      <c r="I489" s="762"/>
      <c r="J489" s="762"/>
      <c r="K489" s="762"/>
      <c r="L489" s="762"/>
      <c r="M489" s="762"/>
      <c r="N489" s="762"/>
      <c r="O489" s="762"/>
      <c r="P489" s="762"/>
      <c r="Q489" s="550"/>
      <c r="R489" s="550"/>
      <c r="S489" s="550"/>
      <c r="T489" s="550"/>
      <c r="U489" s="550"/>
      <c r="V489" s="550"/>
      <c r="W489" s="550"/>
      <c r="X489" s="550"/>
      <c r="Y489" s="550"/>
      <c r="Z489" s="550"/>
      <c r="AA489" s="550"/>
      <c r="AB489" s="550"/>
      <c r="AC489" s="550"/>
      <c r="AJ489" s="550"/>
      <c r="AK489" s="731"/>
      <c r="AN489" s="596"/>
      <c r="AO489" s="549" t="s">
        <v>1527</v>
      </c>
      <c r="AP489" s="636">
        <v>2</v>
      </c>
    </row>
    <row r="490" spans="1:81" s="549" customFormat="1" ht="12.75" hidden="1" customHeight="1">
      <c r="C490" s="761"/>
      <c r="F490" s="608" t="s">
        <v>1528</v>
      </c>
      <c r="M490" s="762"/>
      <c r="N490" s="762"/>
      <c r="O490" s="762"/>
      <c r="P490" s="762"/>
      <c r="Q490" s="550"/>
      <c r="R490" s="550"/>
      <c r="S490" s="550"/>
      <c r="T490" s="550"/>
      <c r="U490" s="550"/>
      <c r="V490" s="550"/>
      <c r="W490" s="550"/>
      <c r="X490" s="550"/>
      <c r="Y490" s="550"/>
      <c r="Z490" s="550"/>
      <c r="AA490" s="550"/>
      <c r="AB490" s="550"/>
      <c r="AC490" s="550"/>
      <c r="AG490" s="612"/>
      <c r="AH490" s="639"/>
      <c r="AI490" s="550"/>
      <c r="AJ490" s="550"/>
      <c r="AK490" s="731"/>
      <c r="AN490" s="596"/>
      <c r="AO490" s="549" t="s">
        <v>1529</v>
      </c>
      <c r="AP490" s="549">
        <v>2</v>
      </c>
    </row>
    <row r="491" spans="1:81" s="595" customFormat="1" ht="12.75" hidden="1" customHeight="1">
      <c r="A491" s="549"/>
      <c r="B491" s="549"/>
      <c r="C491" s="738"/>
      <c r="D491" s="569"/>
      <c r="E491" s="569"/>
      <c r="F491" s="608" t="s">
        <v>1530</v>
      </c>
      <c r="G491" s="549"/>
      <c r="H491" s="549"/>
      <c r="I491" s="549"/>
      <c r="J491" s="549"/>
      <c r="K491" s="549"/>
      <c r="L491" s="549"/>
      <c r="M491" s="762"/>
      <c r="N491" s="762"/>
      <c r="O491" s="762"/>
      <c r="P491" s="762"/>
      <c r="Q491" s="550"/>
      <c r="R491" s="550"/>
      <c r="S491" s="550"/>
      <c r="T491" s="550"/>
      <c r="U491" s="550"/>
      <c r="V491" s="550"/>
      <c r="W491" s="550"/>
      <c r="X491" s="550"/>
      <c r="Y491" s="550"/>
      <c r="Z491" s="550"/>
      <c r="AA491" s="550"/>
      <c r="AB491" s="550"/>
      <c r="AC491" s="550"/>
      <c r="AD491" s="549"/>
      <c r="AE491" s="549"/>
      <c r="AF491" s="549"/>
      <c r="AG491" s="612"/>
      <c r="AH491" s="639"/>
      <c r="AI491" s="550"/>
      <c r="AJ491" s="550"/>
      <c r="AK491" s="731"/>
      <c r="AL491" s="549"/>
      <c r="AM491" s="549"/>
      <c r="AN491" s="677"/>
      <c r="AO491" s="549" t="s">
        <v>1531</v>
      </c>
      <c r="AP491" s="549">
        <v>2</v>
      </c>
    </row>
    <row r="492" spans="1:81" s="549" customFormat="1" ht="12.75" hidden="1" customHeight="1">
      <c r="C492" s="776"/>
      <c r="F492" s="774" t="s">
        <v>1532</v>
      </c>
      <c r="M492" s="762"/>
      <c r="N492" s="762"/>
      <c r="O492" s="762"/>
      <c r="P492" s="762"/>
      <c r="Q492" s="550"/>
      <c r="R492" s="550"/>
      <c r="S492" s="550"/>
      <c r="T492" s="550"/>
      <c r="U492" s="550"/>
      <c r="V492" s="2630" t="s">
        <v>592</v>
      </c>
      <c r="W492" s="2630"/>
      <c r="X492" s="2630"/>
      <c r="Y492" s="550"/>
      <c r="Z492" s="550"/>
      <c r="AA492" s="550"/>
      <c r="AB492" s="550"/>
      <c r="AC492" s="550"/>
      <c r="AG492" s="612">
        <f>IF(AND($C$482="Yes",$V$485="N/A",$V$487="N/A", $V$496="N/A",$V$498="N/A"),(VLOOKUP($V$492,$AT$485:$AU$487,2,FALSE)),0)</f>
        <v>0</v>
      </c>
      <c r="AH492" s="639" t="s">
        <v>1329</v>
      </c>
      <c r="AI492" s="550"/>
      <c r="AJ492" s="550"/>
      <c r="AK492" s="731"/>
      <c r="AN492" s="534"/>
    </row>
    <row r="493" spans="1:81" s="549" customFormat="1" ht="12.75" hidden="1" customHeight="1">
      <c r="C493" s="761"/>
      <c r="M493" s="762"/>
      <c r="N493" s="762"/>
      <c r="O493" s="762"/>
      <c r="P493" s="762"/>
      <c r="Q493" s="550"/>
      <c r="R493" s="550"/>
      <c r="S493" s="550"/>
      <c r="T493" s="550"/>
      <c r="U493" s="550"/>
      <c r="V493" s="550"/>
      <c r="W493" s="550"/>
      <c r="X493" s="550"/>
      <c r="Y493" s="550"/>
      <c r="Z493" s="550"/>
      <c r="AA493" s="550"/>
      <c r="AB493" s="550"/>
      <c r="AC493" s="550"/>
      <c r="AJ493" s="550"/>
      <c r="AK493" s="731"/>
      <c r="AN493" s="777"/>
    </row>
    <row r="494" spans="1:81" s="595" customFormat="1" ht="12.75" hidden="1" customHeight="1">
      <c r="A494" s="549"/>
      <c r="B494" s="549"/>
      <c r="C494" s="778" t="s">
        <v>1533</v>
      </c>
      <c r="D494" s="713"/>
      <c r="E494" s="713"/>
      <c r="F494" s="779" t="s">
        <v>1534</v>
      </c>
      <c r="G494" s="713"/>
      <c r="H494" s="713"/>
      <c r="I494" s="713"/>
      <c r="J494" s="713"/>
      <c r="K494" s="713"/>
      <c r="L494" s="713"/>
      <c r="M494" s="713"/>
      <c r="N494" s="713"/>
      <c r="O494" s="713"/>
      <c r="P494" s="713"/>
      <c r="Q494" s="713"/>
      <c r="R494" s="713"/>
      <c r="S494" s="713"/>
      <c r="T494" s="713"/>
      <c r="U494" s="713"/>
      <c r="V494" s="713"/>
      <c r="W494" s="713"/>
      <c r="X494" s="713"/>
      <c r="Y494" s="713"/>
      <c r="Z494" s="713"/>
      <c r="AA494" s="713"/>
      <c r="AB494" s="713"/>
      <c r="AC494" s="713"/>
      <c r="AD494" s="713"/>
      <c r="AE494" s="713"/>
      <c r="AF494" s="713"/>
      <c r="AG494" s="713"/>
      <c r="AH494" s="713"/>
      <c r="AI494" s="713"/>
      <c r="AJ494" s="713"/>
      <c r="AK494" s="744"/>
      <c r="AL494" s="549"/>
      <c r="AM494" s="549"/>
      <c r="AN494" s="591"/>
      <c r="AO494" s="549" t="s">
        <v>592</v>
      </c>
      <c r="AP494" s="549">
        <v>0</v>
      </c>
      <c r="AQ494" s="538"/>
    </row>
    <row r="495" spans="1:81" s="595" customFormat="1" ht="12.75" hidden="1" customHeight="1">
      <c r="A495" s="549"/>
      <c r="B495" s="549"/>
      <c r="C495" s="780"/>
      <c r="D495" s="2620"/>
      <c r="E495" s="2620"/>
      <c r="F495" s="770" t="s">
        <v>1535</v>
      </c>
      <c r="I495" s="549"/>
      <c r="J495" s="549"/>
      <c r="K495" s="549"/>
      <c r="L495" s="549"/>
      <c r="M495" s="549"/>
      <c r="N495" s="549"/>
      <c r="O495" s="549"/>
      <c r="P495" s="549"/>
      <c r="Q495" s="549"/>
      <c r="R495" s="549"/>
      <c r="S495" s="549"/>
      <c r="T495" s="549"/>
      <c r="U495" s="549"/>
      <c r="Y495" s="549"/>
      <c r="Z495" s="549"/>
      <c r="AA495" s="549"/>
      <c r="AB495" s="549"/>
      <c r="AC495" s="549"/>
      <c r="AD495" s="549"/>
      <c r="AE495" s="549"/>
      <c r="AF495" s="549"/>
      <c r="AK495" s="731"/>
      <c r="AL495" s="549"/>
      <c r="AM495" s="549"/>
      <c r="AN495" s="591"/>
      <c r="AO495" s="549" t="s">
        <v>1536</v>
      </c>
      <c r="AP495" s="636">
        <v>5</v>
      </c>
      <c r="AQ495" s="538"/>
    </row>
    <row r="496" spans="1:81" s="569" customFormat="1" ht="12.75" hidden="1" customHeight="1">
      <c r="A496" s="678"/>
      <c r="B496" s="549"/>
      <c r="C496" s="761"/>
      <c r="D496" s="549"/>
      <c r="E496" s="549"/>
      <c r="F496" s="781" t="s">
        <v>1524</v>
      </c>
      <c r="G496" s="549"/>
      <c r="H496" s="549"/>
      <c r="I496" s="549"/>
      <c r="J496" s="549"/>
      <c r="K496" s="549"/>
      <c r="L496" s="549"/>
      <c r="M496" s="549"/>
      <c r="N496" s="549"/>
      <c r="O496" s="549"/>
      <c r="P496" s="549"/>
      <c r="Q496" s="549"/>
      <c r="R496" s="549"/>
      <c r="S496" s="549"/>
      <c r="T496" s="549"/>
      <c r="U496" s="549"/>
      <c r="V496" s="2630" t="s">
        <v>592</v>
      </c>
      <c r="W496" s="2630"/>
      <c r="X496" s="2630"/>
      <c r="Y496" s="549"/>
      <c r="Z496" s="549"/>
      <c r="AA496" s="549"/>
      <c r="AB496" s="549"/>
      <c r="AC496" s="549"/>
      <c r="AD496" s="549"/>
      <c r="AE496" s="549"/>
      <c r="AF496" s="549"/>
      <c r="AG496" s="612">
        <f>IF(AND($C$482="Yes",$V$485="N/A",V487="N/A",$V$492="N/A",$V$498="N/A"),(VLOOKUP($V$496,$BB$481:$BC$484,2,FALSE)),0)</f>
        <v>0</v>
      </c>
      <c r="AH496" s="639" t="s">
        <v>1329</v>
      </c>
      <c r="AI496" s="550"/>
      <c r="AJ496" s="549"/>
      <c r="AK496" s="731"/>
      <c r="AL496" s="549"/>
      <c r="AM496" s="549"/>
      <c r="AN496" s="683"/>
      <c r="AO496" s="549" t="s">
        <v>1537</v>
      </c>
      <c r="AP496" s="549">
        <v>5</v>
      </c>
      <c r="AS496" s="549"/>
      <c r="AT496" s="549"/>
      <c r="AU496" s="549"/>
      <c r="AV496" s="549"/>
      <c r="AW496" s="549"/>
      <c r="AX496" s="549"/>
      <c r="AY496" s="549"/>
      <c r="AZ496" s="549"/>
      <c r="BA496" s="549"/>
      <c r="BB496" s="549"/>
      <c r="BO496" s="549"/>
      <c r="BP496" s="549"/>
      <c r="BQ496" s="549"/>
      <c r="BR496" s="549"/>
      <c r="BS496" s="549"/>
      <c r="BT496" s="549"/>
      <c r="BU496" s="549"/>
      <c r="BV496" s="549"/>
      <c r="BW496" s="549"/>
      <c r="BX496" s="549"/>
      <c r="BY496" s="549"/>
      <c r="BZ496" s="549"/>
      <c r="CA496" s="549"/>
      <c r="CB496" s="549"/>
      <c r="CC496" s="549"/>
    </row>
    <row r="497" spans="1:81" s="569" customFormat="1" ht="12.75" hidden="1" customHeight="1">
      <c r="A497" s="678"/>
      <c r="B497" s="549"/>
      <c r="C497" s="761"/>
      <c r="D497" s="549"/>
      <c r="E497" s="549"/>
      <c r="I497" s="549"/>
      <c r="J497" s="549"/>
      <c r="K497" s="549"/>
      <c r="L497" s="549"/>
      <c r="M497" s="549"/>
      <c r="N497" s="549"/>
      <c r="O497" s="549"/>
      <c r="P497" s="549"/>
      <c r="Q497" s="549"/>
      <c r="R497" s="549"/>
      <c r="S497" s="549"/>
      <c r="T497" s="549"/>
      <c r="U497" s="549"/>
      <c r="V497" s="549"/>
      <c r="W497" s="549"/>
      <c r="X497" s="549"/>
      <c r="Y497" s="549"/>
      <c r="Z497" s="549"/>
      <c r="AA497" s="549"/>
      <c r="AB497" s="549"/>
      <c r="AC497" s="549"/>
      <c r="AD497" s="549"/>
      <c r="AE497" s="549"/>
      <c r="AF497" s="549"/>
      <c r="AK497" s="731"/>
      <c r="AL497" s="549"/>
      <c r="AM497" s="549"/>
      <c r="AN497" s="683"/>
      <c r="AO497" s="549" t="s">
        <v>1538</v>
      </c>
      <c r="AP497" s="549">
        <v>5</v>
      </c>
      <c r="AS497" s="549"/>
      <c r="AT497" s="549"/>
      <c r="AU497" s="549"/>
      <c r="AV497" s="549"/>
      <c r="AW497" s="549"/>
      <c r="AX497" s="549"/>
      <c r="AY497" s="549"/>
      <c r="AZ497" s="549"/>
      <c r="BA497" s="549"/>
      <c r="BB497" s="549"/>
      <c r="BC497" s="549"/>
      <c r="BD497" s="549"/>
      <c r="BE497" s="549"/>
      <c r="BF497" s="549"/>
      <c r="BG497" s="549"/>
      <c r="BH497" s="549"/>
      <c r="BI497" s="549"/>
      <c r="BJ497" s="549"/>
      <c r="BK497" s="549"/>
      <c r="BL497" s="549"/>
      <c r="BM497" s="549"/>
      <c r="BN497" s="549"/>
      <c r="BO497" s="549"/>
      <c r="BP497" s="549"/>
      <c r="BQ497" s="549"/>
      <c r="BR497" s="549"/>
      <c r="BS497" s="549"/>
      <c r="BT497" s="549"/>
      <c r="BU497" s="549"/>
      <c r="BV497" s="549"/>
      <c r="BW497" s="549"/>
      <c r="BX497" s="549"/>
      <c r="BY497" s="549"/>
      <c r="BZ497" s="549"/>
      <c r="CA497" s="549"/>
      <c r="CB497" s="549"/>
      <c r="CC497" s="549"/>
    </row>
    <row r="498" spans="1:81" s="538" customFormat="1" ht="12.75" hidden="1" customHeight="1">
      <c r="A498" s="678"/>
      <c r="B498" s="549"/>
      <c r="C498" s="763"/>
      <c r="D498" s="726"/>
      <c r="E498" s="726"/>
      <c r="F498" s="774" t="s">
        <v>1525</v>
      </c>
      <c r="G498" s="765"/>
      <c r="H498" s="765"/>
      <c r="I498" s="726"/>
      <c r="J498" s="726"/>
      <c r="K498" s="726"/>
      <c r="L498" s="726"/>
      <c r="M498" s="726"/>
      <c r="N498" s="726"/>
      <c r="O498" s="726"/>
      <c r="P498" s="726"/>
      <c r="Q498" s="726"/>
      <c r="R498" s="726"/>
      <c r="S498" s="726"/>
      <c r="T498" s="726"/>
      <c r="U498" s="726"/>
      <c r="V498" s="2630" t="s">
        <v>592</v>
      </c>
      <c r="W498" s="2630"/>
      <c r="X498" s="2630"/>
      <c r="Y498" s="726"/>
      <c r="Z498" s="726"/>
      <c r="AA498" s="726"/>
      <c r="AB498" s="726"/>
      <c r="AC498" s="726"/>
      <c r="AD498" s="726"/>
      <c r="AE498" s="726"/>
      <c r="AF498" s="726"/>
      <c r="AG498" s="782">
        <f>IF(AND($C$482="Yes",$V$485="N/A",$V$487="N/A",$V$492="N/A",$V$496="N/A"),(VLOOKUP($V$498,$BF$481:$BG$483,2,FALSE)),0)</f>
        <v>0</v>
      </c>
      <c r="AH498" s="767" t="s">
        <v>1329</v>
      </c>
      <c r="AI498" s="726"/>
      <c r="AJ498" s="726"/>
      <c r="AK498" s="741"/>
      <c r="AL498" s="549"/>
      <c r="AM498" s="549"/>
      <c r="AN498" s="783"/>
      <c r="AP498" s="595"/>
      <c r="AQ498" s="595"/>
      <c r="AR498" s="595"/>
      <c r="AS498" s="595"/>
      <c r="AT498" s="595"/>
      <c r="AU498" s="595"/>
      <c r="AV498" s="595"/>
      <c r="AW498" s="595"/>
      <c r="AX498" s="595"/>
      <c r="AY498" s="595"/>
      <c r="AZ498" s="595"/>
      <c r="BA498" s="595"/>
      <c r="BB498" s="595"/>
      <c r="BC498" s="595"/>
      <c r="BE498" s="595"/>
      <c r="BF498" s="595"/>
      <c r="BG498" s="595"/>
      <c r="BH498" s="595"/>
      <c r="BI498" s="595"/>
      <c r="BJ498" s="595"/>
      <c r="BK498" s="595"/>
      <c r="BL498" s="595"/>
      <c r="BM498" s="595"/>
      <c r="BN498" s="595"/>
      <c r="BO498" s="595"/>
      <c r="BP498" s="595"/>
      <c r="BQ498" s="595"/>
      <c r="BR498" s="595"/>
    </row>
    <row r="499" spans="1:81" s="538" customFormat="1" ht="12.75" hidden="1" customHeight="1">
      <c r="A499" s="678"/>
      <c r="B499" s="549"/>
      <c r="C499" s="550"/>
      <c r="D499" s="549"/>
      <c r="E499" s="762"/>
      <c r="F499" s="549"/>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49"/>
      <c r="AE499" s="549"/>
      <c r="AF499" s="549"/>
      <c r="AG499" s="549"/>
      <c r="AH499" s="549"/>
      <c r="AI499" s="549"/>
      <c r="AJ499" s="549"/>
      <c r="AK499" s="549"/>
      <c r="AL499" s="549"/>
      <c r="AM499" s="549"/>
      <c r="AN499" s="783"/>
      <c r="AO499" s="784"/>
      <c r="AP499" s="549"/>
      <c r="AQ499" s="549"/>
      <c r="AR499" s="549"/>
      <c r="AS499" s="549"/>
      <c r="AT499" s="549"/>
      <c r="AU499" s="785"/>
      <c r="AV499" s="785"/>
      <c r="AW499" s="785"/>
      <c r="AX499" s="785"/>
      <c r="AY499" s="785"/>
      <c r="AZ499" s="785"/>
      <c r="BA499" s="785"/>
      <c r="BB499" s="595"/>
      <c r="BC499" s="595"/>
      <c r="BE499" s="549"/>
      <c r="BF499" s="549"/>
      <c r="BG499" s="549"/>
      <c r="BH499" s="549"/>
      <c r="BI499" s="549"/>
      <c r="BJ499" s="785"/>
      <c r="BK499" s="785"/>
      <c r="BL499" s="785"/>
      <c r="BM499" s="785"/>
      <c r="BN499" s="785"/>
      <c r="BO499" s="785"/>
      <c r="BP499" s="785"/>
      <c r="BQ499" s="595"/>
      <c r="BR499" s="549"/>
    </row>
    <row r="500" spans="1:81" s="538" customFormat="1" ht="12.75" hidden="1" customHeight="1">
      <c r="A500" s="678"/>
      <c r="B500" s="549"/>
      <c r="C500" s="711" t="s">
        <v>1539</v>
      </c>
      <c r="D500" s="549"/>
      <c r="E500" s="762"/>
      <c r="F500" s="550"/>
      <c r="G500" s="550"/>
      <c r="H500" s="550"/>
      <c r="I500" s="550"/>
      <c r="J500" s="550"/>
      <c r="K500" s="550"/>
      <c r="L500" s="550"/>
      <c r="M500" s="550"/>
      <c r="N500" s="550"/>
      <c r="O500" s="550"/>
      <c r="P500" s="550"/>
      <c r="Q500" s="550"/>
      <c r="R500" s="550"/>
      <c r="S500" s="550"/>
      <c r="T500" s="550"/>
      <c r="U500" s="550"/>
      <c r="V500" s="550"/>
      <c r="W500" s="550"/>
      <c r="X500" s="550"/>
      <c r="Y500" s="550"/>
      <c r="Z500" s="550"/>
      <c r="AA500" s="550"/>
      <c r="AB500" s="550"/>
      <c r="AC500" s="550"/>
      <c r="AD500" s="549"/>
      <c r="AE500" s="549"/>
      <c r="AF500" s="549"/>
      <c r="AG500" s="550"/>
      <c r="AH500" s="550"/>
      <c r="AI500" s="550"/>
      <c r="AJ500" s="550"/>
      <c r="AK500" s="549"/>
      <c r="AL500" s="549"/>
      <c r="AM500" s="549"/>
      <c r="AN500" s="783"/>
      <c r="AO500" s="784"/>
      <c r="AP500" s="549"/>
      <c r="AQ500" s="549"/>
      <c r="AR500" s="549"/>
      <c r="AS500" s="549"/>
      <c r="AT500" s="549"/>
      <c r="AU500" s="785"/>
      <c r="AV500" s="785"/>
      <c r="AW500" s="785"/>
      <c r="AX500" s="785"/>
      <c r="AY500" s="785"/>
      <c r="AZ500" s="785"/>
      <c r="BA500" s="785"/>
      <c r="BB500" s="595"/>
      <c r="BC500" s="595"/>
      <c r="BE500" s="549"/>
      <c r="BF500" s="549"/>
      <c r="BG500" s="549"/>
      <c r="BH500" s="549"/>
      <c r="BI500" s="549"/>
      <c r="BJ500" s="785"/>
      <c r="BK500" s="785"/>
      <c r="BL500" s="785"/>
      <c r="BM500" s="785"/>
      <c r="BN500" s="785"/>
      <c r="BO500" s="785"/>
      <c r="BP500" s="785"/>
      <c r="BQ500" s="595"/>
      <c r="BR500" s="549"/>
    </row>
    <row r="501" spans="1:81" s="569" customFormat="1" ht="12.75" hidden="1" customHeight="1">
      <c r="A501" s="678"/>
      <c r="B501" s="549"/>
      <c r="C501" s="2555" t="s">
        <v>592</v>
      </c>
      <c r="D501" s="2556"/>
      <c r="E501" s="760" t="s">
        <v>508</v>
      </c>
      <c r="F501" s="2557" t="s">
        <v>1518</v>
      </c>
      <c r="G501" s="2557"/>
      <c r="H501" s="2557"/>
      <c r="I501" s="2557"/>
      <c r="J501" s="2557"/>
      <c r="K501" s="2557"/>
      <c r="L501" s="2557"/>
      <c r="M501" s="2557"/>
      <c r="N501" s="2557"/>
      <c r="O501" s="2557"/>
      <c r="P501" s="2557"/>
      <c r="Q501" s="2557"/>
      <c r="R501" s="2557"/>
      <c r="S501" s="2557"/>
      <c r="T501" s="2557"/>
      <c r="U501" s="2557"/>
      <c r="V501" s="2557"/>
      <c r="W501" s="2557"/>
      <c r="X501" s="2557"/>
      <c r="Y501" s="2557"/>
      <c r="Z501" s="2557"/>
      <c r="AA501" s="2557"/>
      <c r="AB501" s="2557"/>
      <c r="AC501" s="2557"/>
      <c r="AD501" s="2557"/>
      <c r="AE501" s="2557"/>
      <c r="AF501" s="713"/>
      <c r="AG501" s="715"/>
      <c r="AH501" s="715"/>
      <c r="AI501" s="715"/>
      <c r="AJ501" s="715"/>
      <c r="AK501" s="744"/>
      <c r="AL501" s="549"/>
      <c r="AM501" s="549"/>
      <c r="AN501" s="533"/>
      <c r="AO501" s="30"/>
      <c r="AP501" s="549"/>
      <c r="AQ501" s="549"/>
      <c r="AR501" s="549"/>
      <c r="AS501" s="549"/>
      <c r="AT501" s="549"/>
      <c r="AU501" s="786"/>
      <c r="AV501" s="786"/>
      <c r="AW501" s="786"/>
      <c r="AX501" s="786"/>
      <c r="AY501" s="786"/>
      <c r="AZ501" s="786"/>
      <c r="BA501" s="786"/>
      <c r="BB501" s="549"/>
      <c r="BC501" s="549"/>
      <c r="BD501" s="535"/>
      <c r="BE501" s="549"/>
      <c r="BF501" s="549"/>
      <c r="BG501" s="549"/>
      <c r="BH501" s="549"/>
      <c r="BI501" s="549"/>
      <c r="BJ501" s="786"/>
      <c r="BK501" s="786"/>
      <c r="BL501" s="786"/>
      <c r="BM501" s="786"/>
      <c r="BN501" s="786"/>
      <c r="BO501" s="786"/>
      <c r="BP501" s="786"/>
      <c r="BQ501" s="549"/>
      <c r="BR501" s="549"/>
      <c r="BS501" s="535"/>
      <c r="BT501" s="535"/>
      <c r="BU501" s="535"/>
      <c r="BV501" s="535"/>
      <c r="BW501" s="535"/>
      <c r="BX501" s="535"/>
      <c r="BY501" s="535"/>
      <c r="BZ501" s="535"/>
      <c r="CA501" s="535"/>
      <c r="CB501" s="535"/>
      <c r="CC501" s="535"/>
    </row>
    <row r="502" spans="1:81" s="569" customFormat="1" ht="12.75" hidden="1" customHeight="1">
      <c r="A502" s="678"/>
      <c r="B502" s="549"/>
      <c r="C502" s="761"/>
      <c r="D502" s="549"/>
      <c r="E502" s="762"/>
      <c r="F502" s="2558"/>
      <c r="G502" s="2558"/>
      <c r="H502" s="2558"/>
      <c r="I502" s="2558"/>
      <c r="J502" s="2558"/>
      <c r="K502" s="2558"/>
      <c r="L502" s="2558"/>
      <c r="M502" s="2558"/>
      <c r="N502" s="2558"/>
      <c r="O502" s="2558"/>
      <c r="P502" s="2558"/>
      <c r="Q502" s="2558"/>
      <c r="R502" s="2558"/>
      <c r="S502" s="2558"/>
      <c r="T502" s="2558"/>
      <c r="U502" s="2558"/>
      <c r="V502" s="2558"/>
      <c r="W502" s="2558"/>
      <c r="X502" s="2558"/>
      <c r="Y502" s="2558"/>
      <c r="Z502" s="2558"/>
      <c r="AA502" s="2558"/>
      <c r="AB502" s="2558"/>
      <c r="AC502" s="2558"/>
      <c r="AD502" s="2558"/>
      <c r="AE502" s="2558"/>
      <c r="AF502" s="549"/>
      <c r="AG502" s="550"/>
      <c r="AH502" s="550"/>
      <c r="AI502" s="550"/>
      <c r="AJ502" s="550"/>
      <c r="AK502" s="731"/>
      <c r="AL502" s="549"/>
      <c r="AM502" s="549"/>
      <c r="AN502" s="533"/>
      <c r="AO502" s="30"/>
      <c r="AP502" s="787"/>
      <c r="AQ502" s="787"/>
      <c r="AR502" s="787"/>
      <c r="AS502" s="678"/>
      <c r="AT502" s="549"/>
      <c r="AU502" s="788"/>
      <c r="AV502" s="788"/>
      <c r="AW502" s="788"/>
      <c r="AX502" s="788"/>
      <c r="AY502" s="788"/>
      <c r="AZ502" s="788"/>
      <c r="BA502" s="788"/>
      <c r="BB502" s="14"/>
      <c r="BC502" s="14"/>
      <c r="BD502" s="535"/>
      <c r="BE502" s="787"/>
      <c r="BF502" s="787"/>
      <c r="BG502" s="787"/>
      <c r="BH502" s="678"/>
      <c r="BI502" s="549"/>
      <c r="BJ502" s="789"/>
      <c r="BK502" s="788"/>
      <c r="BL502" s="788"/>
      <c r="BM502" s="788"/>
      <c r="BN502" s="788"/>
      <c r="BO502" s="788"/>
      <c r="BP502" s="788"/>
      <c r="BQ502" s="14"/>
      <c r="BR502" s="549"/>
      <c r="BS502" s="535"/>
      <c r="BT502" s="535"/>
      <c r="BU502" s="535"/>
      <c r="BV502" s="535"/>
      <c r="BW502" s="535"/>
      <c r="BX502" s="535"/>
      <c r="BY502" s="535"/>
      <c r="BZ502" s="535"/>
      <c r="CA502" s="535"/>
      <c r="CB502" s="535"/>
      <c r="CC502" s="535"/>
    </row>
    <row r="503" spans="1:81" s="569" customFormat="1" ht="12.75" hidden="1" customHeight="1">
      <c r="A503" s="678"/>
      <c r="B503" s="549"/>
      <c r="C503" s="763"/>
      <c r="D503" s="726"/>
      <c r="E503" s="764"/>
      <c r="F503" s="2626" t="s">
        <v>592</v>
      </c>
      <c r="G503" s="2626"/>
      <c r="H503" s="2626"/>
      <c r="I503" s="2626"/>
      <c r="J503" s="2626"/>
      <c r="K503" s="2626"/>
      <c r="L503" s="2626"/>
      <c r="M503" s="2626"/>
      <c r="N503" s="2626"/>
      <c r="O503" s="2626"/>
      <c r="P503" s="2626"/>
      <c r="Q503" s="2626"/>
      <c r="R503" s="2626"/>
      <c r="S503" s="2626"/>
      <c r="T503" s="2626"/>
      <c r="U503" s="2626"/>
      <c r="V503" s="2626"/>
      <c r="W503" s="2626"/>
      <c r="X503" s="2626"/>
      <c r="Y503" s="2626"/>
      <c r="Z503" s="2626"/>
      <c r="AA503" s="765"/>
      <c r="AB503" s="657"/>
      <c r="AC503" s="657"/>
      <c r="AD503" s="726"/>
      <c r="AE503" s="726"/>
      <c r="AF503" s="726"/>
      <c r="AG503" s="766">
        <f>IF($C$501="Yes",(VLOOKUP($F$503,$AO$471:$AP$479,2,FALSE)),0)</f>
        <v>0</v>
      </c>
      <c r="AH503" s="767" t="s">
        <v>1329</v>
      </c>
      <c r="AI503" s="766"/>
      <c r="AJ503" s="657"/>
      <c r="AK503" s="741"/>
      <c r="AL503" s="549"/>
      <c r="AM503" s="549"/>
      <c r="AN503" s="533"/>
      <c r="AO503" s="30"/>
      <c r="AP503" s="787"/>
      <c r="AQ503" s="787"/>
      <c r="AR503" s="787"/>
      <c r="AS503" s="678"/>
      <c r="AT503" s="549"/>
      <c r="AU503" s="788"/>
      <c r="AV503" s="788"/>
      <c r="AW503" s="788"/>
      <c r="AX503" s="788"/>
      <c r="AY503" s="788"/>
      <c r="AZ503" s="788"/>
      <c r="BA503" s="788"/>
      <c r="BB503" s="14"/>
      <c r="BC503" s="14"/>
      <c r="BD503" s="535"/>
      <c r="BE503" s="787"/>
      <c r="BF503" s="787"/>
      <c r="BG503" s="787"/>
      <c r="BH503" s="678"/>
      <c r="BI503" s="549"/>
      <c r="BJ503" s="789"/>
      <c r="BK503" s="788"/>
      <c r="BL503" s="788"/>
      <c r="BM503" s="788"/>
      <c r="BN503" s="788"/>
      <c r="BO503" s="788"/>
      <c r="BP503" s="788"/>
      <c r="BQ503" s="14"/>
      <c r="BR503" s="549"/>
      <c r="BS503" s="535"/>
      <c r="BT503" s="535"/>
      <c r="BU503" s="535"/>
      <c r="BV503" s="535"/>
      <c r="BW503" s="535"/>
      <c r="BX503" s="535"/>
      <c r="BY503" s="535"/>
      <c r="BZ503" s="535"/>
      <c r="CA503" s="535"/>
      <c r="CB503" s="535"/>
      <c r="CC503" s="535"/>
    </row>
    <row r="504" spans="1:81" s="569" customFormat="1" ht="12.75" hidden="1" customHeight="1">
      <c r="A504" s="678"/>
      <c r="B504" s="549"/>
      <c r="C504" s="711"/>
      <c r="D504" s="549"/>
      <c r="E504" s="762"/>
      <c r="F504" s="550"/>
      <c r="G504" s="550"/>
      <c r="H504" s="550"/>
      <c r="I504" s="550"/>
      <c r="J504" s="550"/>
      <c r="K504" s="550"/>
      <c r="L504" s="550"/>
      <c r="M504" s="550"/>
      <c r="N504" s="550"/>
      <c r="O504" s="550"/>
      <c r="P504" s="550"/>
      <c r="Q504" s="550"/>
      <c r="R504" s="550"/>
      <c r="S504" s="550"/>
      <c r="T504" s="550"/>
      <c r="U504" s="550"/>
      <c r="V504" s="550"/>
      <c r="W504" s="550"/>
      <c r="X504" s="550"/>
      <c r="Y504" s="550"/>
      <c r="Z504" s="550"/>
      <c r="AA504" s="550"/>
      <c r="AB504" s="550"/>
      <c r="AC504" s="550"/>
      <c r="AD504" s="549"/>
      <c r="AE504" s="549"/>
      <c r="AF504" s="549"/>
      <c r="AG504" s="550"/>
      <c r="AH504" s="550"/>
      <c r="AI504" s="550"/>
      <c r="AJ504" s="550"/>
      <c r="AK504" s="549"/>
      <c r="AL504" s="549"/>
      <c r="AM504" s="549"/>
      <c r="AN504" s="533"/>
      <c r="AO504" s="30"/>
      <c r="AP504" s="787"/>
      <c r="AQ504" s="787"/>
      <c r="AR504" s="787"/>
      <c r="AS504" s="678"/>
      <c r="AT504" s="549"/>
      <c r="AU504" s="788"/>
      <c r="AV504" s="788"/>
      <c r="AW504" s="788"/>
      <c r="AX504" s="788"/>
      <c r="AY504" s="788"/>
      <c r="AZ504" s="788"/>
      <c r="BA504" s="788"/>
      <c r="BB504" s="14"/>
      <c r="BC504" s="14"/>
      <c r="BD504" s="535"/>
      <c r="BE504" s="787"/>
      <c r="BF504" s="787"/>
      <c r="BG504" s="787"/>
      <c r="BH504" s="678"/>
      <c r="BI504" s="549"/>
      <c r="BJ504" s="789"/>
      <c r="BK504" s="788"/>
      <c r="BL504" s="788"/>
      <c r="BM504" s="788"/>
      <c r="BN504" s="788"/>
      <c r="BO504" s="788"/>
      <c r="BP504" s="788"/>
      <c r="BQ504" s="14"/>
      <c r="BR504" s="549"/>
      <c r="BS504" s="535"/>
      <c r="BT504" s="535"/>
      <c r="BU504" s="535"/>
      <c r="BV504" s="535"/>
      <c r="BW504" s="535"/>
      <c r="BX504" s="535"/>
      <c r="BY504" s="535"/>
      <c r="BZ504" s="535"/>
      <c r="CA504" s="535"/>
      <c r="CB504" s="535"/>
      <c r="CC504" s="535"/>
    </row>
    <row r="505" spans="1:81" s="569" customFormat="1" ht="12.75" hidden="1" customHeight="1">
      <c r="A505" s="549"/>
      <c r="B505" s="549"/>
      <c r="C505" s="2555" t="s">
        <v>592</v>
      </c>
      <c r="D505" s="2556"/>
      <c r="E505" s="760" t="s">
        <v>758</v>
      </c>
      <c r="F505" s="2627" t="s">
        <v>1540</v>
      </c>
      <c r="G505" s="2627"/>
      <c r="H505" s="2627"/>
      <c r="I505" s="2627"/>
      <c r="J505" s="2627"/>
      <c r="K505" s="2627"/>
      <c r="L505" s="2627"/>
      <c r="M505" s="2627"/>
      <c r="N505" s="2627"/>
      <c r="O505" s="2627"/>
      <c r="P505" s="2627"/>
      <c r="Q505" s="2627"/>
      <c r="R505" s="2627"/>
      <c r="S505" s="2627"/>
      <c r="T505" s="2627"/>
      <c r="U505" s="2627"/>
      <c r="V505" s="2627"/>
      <c r="W505" s="2627"/>
      <c r="X505" s="2627"/>
      <c r="Y505" s="2627"/>
      <c r="Z505" s="2627"/>
      <c r="AA505" s="2627"/>
      <c r="AB505" s="2627"/>
      <c r="AC505" s="2627"/>
      <c r="AD505" s="2627"/>
      <c r="AE505" s="2627"/>
      <c r="AF505" s="713"/>
      <c r="AG505" s="648"/>
      <c r="AH505" s="648"/>
      <c r="AI505" s="648"/>
      <c r="AJ505" s="648"/>
      <c r="AK505" s="744"/>
      <c r="AL505" s="549"/>
      <c r="AM505" s="549"/>
      <c r="AN505" s="533"/>
      <c r="AO505" s="30"/>
      <c r="AP505" s="787"/>
      <c r="AQ505" s="787"/>
      <c r="AR505" s="787"/>
      <c r="AS505" s="678"/>
      <c r="AT505" s="549"/>
      <c r="AU505" s="788"/>
      <c r="AV505" s="788"/>
      <c r="AW505" s="788"/>
      <c r="AX505" s="788"/>
      <c r="AY505" s="788"/>
      <c r="AZ505" s="788"/>
      <c r="BA505" s="788"/>
      <c r="BB505" s="14"/>
      <c r="BC505" s="14"/>
      <c r="BD505" s="535"/>
      <c r="BE505" s="787"/>
      <c r="BF505" s="787"/>
      <c r="BG505" s="787"/>
      <c r="BH505" s="678"/>
      <c r="BI505" s="549"/>
      <c r="BJ505" s="789"/>
      <c r="BK505" s="788"/>
      <c r="BL505" s="788"/>
      <c r="BM505" s="788"/>
      <c r="BN505" s="788"/>
      <c r="BO505" s="788"/>
      <c r="BP505" s="788"/>
      <c r="BQ505" s="14"/>
      <c r="BR505" s="549"/>
      <c r="BS505" s="535"/>
      <c r="BT505" s="535"/>
      <c r="BU505" s="535"/>
      <c r="BV505" s="535"/>
      <c r="BW505" s="535"/>
      <c r="BX505" s="535"/>
      <c r="BY505" s="535"/>
      <c r="BZ505" s="535"/>
      <c r="CA505" s="535"/>
      <c r="CB505" s="535"/>
      <c r="CC505" s="535"/>
    </row>
    <row r="506" spans="1:81" s="569" customFormat="1" ht="12.75" hidden="1" customHeight="1">
      <c r="A506" s="549"/>
      <c r="B506" s="549"/>
      <c r="C506" s="761"/>
      <c r="D506" s="549"/>
      <c r="E506" s="762"/>
      <c r="F506" s="2628"/>
      <c r="G506" s="2628"/>
      <c r="H506" s="2628"/>
      <c r="I506" s="2628"/>
      <c r="J506" s="2628"/>
      <c r="K506" s="2628"/>
      <c r="L506" s="2628"/>
      <c r="M506" s="2628"/>
      <c r="N506" s="2628"/>
      <c r="O506" s="2628"/>
      <c r="P506" s="2628"/>
      <c r="Q506" s="2628"/>
      <c r="R506" s="2628"/>
      <c r="S506" s="2628"/>
      <c r="T506" s="2628"/>
      <c r="U506" s="2628"/>
      <c r="V506" s="2628"/>
      <c r="W506" s="2628"/>
      <c r="X506" s="2628"/>
      <c r="Y506" s="2628"/>
      <c r="Z506" s="2628"/>
      <c r="AA506" s="2628"/>
      <c r="AB506" s="2628"/>
      <c r="AC506" s="2628"/>
      <c r="AD506" s="2628"/>
      <c r="AE506" s="2628"/>
      <c r="AF506" s="549"/>
      <c r="AG506" s="550"/>
      <c r="AH506" s="550"/>
      <c r="AI506" s="550"/>
      <c r="AJ506" s="550"/>
      <c r="AK506" s="731"/>
      <c r="AL506" s="549"/>
      <c r="AM506" s="549"/>
      <c r="AN506" s="533"/>
      <c r="AO506" s="30"/>
      <c r="AP506" s="787"/>
      <c r="AQ506" s="787"/>
      <c r="AR506" s="787"/>
      <c r="AS506" s="678"/>
      <c r="AT506" s="549"/>
      <c r="AU506" s="788"/>
      <c r="AV506" s="788"/>
      <c r="AW506" s="788"/>
      <c r="AX506" s="788"/>
      <c r="AY506" s="788"/>
      <c r="AZ506" s="788"/>
      <c r="BA506" s="788"/>
      <c r="BB506" s="14"/>
      <c r="BC506" s="14"/>
      <c r="BD506" s="535"/>
      <c r="BE506" s="787"/>
      <c r="BF506" s="787"/>
      <c r="BG506" s="787"/>
      <c r="BH506" s="678"/>
      <c r="BI506" s="549"/>
      <c r="BJ506" s="789"/>
      <c r="BK506" s="788"/>
      <c r="BL506" s="788"/>
      <c r="BM506" s="788"/>
      <c r="BN506" s="788"/>
      <c r="BO506" s="788"/>
      <c r="BP506" s="788"/>
      <c r="BQ506" s="14"/>
      <c r="BR506" s="549"/>
      <c r="BS506" s="535"/>
      <c r="BT506" s="535"/>
      <c r="BU506" s="535"/>
      <c r="BV506" s="535"/>
      <c r="BW506" s="535"/>
      <c r="BX506" s="535"/>
      <c r="BY506" s="535"/>
      <c r="BZ506" s="535"/>
      <c r="CA506" s="535"/>
      <c r="CB506" s="535"/>
      <c r="CC506" s="535"/>
    </row>
    <row r="507" spans="1:81" s="569" customFormat="1" ht="12.75" hidden="1" customHeight="1">
      <c r="A507" s="549"/>
      <c r="B507" s="549"/>
      <c r="C507" s="738"/>
      <c r="D507" s="549"/>
      <c r="E507" s="549"/>
      <c r="F507" s="781" t="s">
        <v>1541</v>
      </c>
      <c r="G507" s="550"/>
      <c r="H507" s="550"/>
      <c r="I507" s="550"/>
      <c r="J507" s="550"/>
      <c r="K507" s="550"/>
      <c r="L507" s="550"/>
      <c r="M507" s="550"/>
      <c r="N507" s="550"/>
      <c r="O507" s="550"/>
      <c r="P507" s="550"/>
      <c r="Q507" s="550"/>
      <c r="R507" s="550"/>
      <c r="S507" s="550"/>
      <c r="T507" s="550"/>
      <c r="U507" s="550"/>
      <c r="V507" s="550"/>
      <c r="W507" s="550"/>
      <c r="X507" s="550"/>
      <c r="Y507" s="550"/>
      <c r="Z507" s="550"/>
      <c r="AA507" s="550"/>
      <c r="AB507" s="550"/>
      <c r="AC507" s="590"/>
      <c r="AD507" s="549"/>
      <c r="AE507" s="549"/>
      <c r="AF507" s="549"/>
      <c r="AG507" s="612"/>
      <c r="AH507" s="612"/>
      <c r="AI507" s="612"/>
      <c r="AJ507" s="612"/>
      <c r="AK507" s="731"/>
      <c r="AL507" s="549"/>
      <c r="AM507" s="549"/>
      <c r="AN507" s="533"/>
      <c r="AO507" s="535"/>
      <c r="AP507" s="787"/>
      <c r="AQ507" s="787"/>
      <c r="AR507" s="787"/>
      <c r="AS507" s="678"/>
      <c r="AT507" s="549"/>
      <c r="AU507" s="788"/>
      <c r="AV507" s="788"/>
      <c r="AW507" s="788"/>
      <c r="AX507" s="788"/>
      <c r="AY507" s="788"/>
      <c r="AZ507" s="788"/>
      <c r="BA507" s="788"/>
      <c r="BB507" s="535"/>
      <c r="BC507" s="535"/>
      <c r="BD507" s="535"/>
      <c r="BE507" s="787"/>
      <c r="BF507" s="787"/>
      <c r="BG507" s="787"/>
      <c r="BH507" s="678"/>
      <c r="BI507" s="549"/>
      <c r="BJ507" s="789"/>
      <c r="BK507" s="788"/>
      <c r="BL507" s="788"/>
      <c r="BM507" s="788"/>
      <c r="BN507" s="788"/>
      <c r="BO507" s="788"/>
      <c r="BP507" s="788"/>
      <c r="BQ507" s="535"/>
      <c r="BR507" s="549"/>
      <c r="BS507" s="535"/>
      <c r="BT507" s="535"/>
      <c r="BU507" s="535"/>
      <c r="BV507" s="535"/>
      <c r="BW507" s="535"/>
      <c r="BX507" s="535"/>
      <c r="BY507" s="535"/>
      <c r="BZ507" s="535"/>
      <c r="CA507" s="535"/>
      <c r="CB507" s="535"/>
      <c r="CC507" s="535"/>
    </row>
    <row r="508" spans="1:81" s="569" customFormat="1" hidden="1">
      <c r="A508" s="549"/>
      <c r="B508" s="549"/>
      <c r="C508" s="763"/>
      <c r="D508" s="726"/>
      <c r="E508" s="764"/>
      <c r="F508" s="2629" t="s">
        <v>592</v>
      </c>
      <c r="G508" s="2629"/>
      <c r="H508" s="2629"/>
      <c r="I508" s="657"/>
      <c r="J508" s="657"/>
      <c r="K508" s="657"/>
      <c r="L508" s="657"/>
      <c r="M508" s="657"/>
      <c r="N508" s="657"/>
      <c r="O508" s="657"/>
      <c r="P508" s="657"/>
      <c r="Q508" s="657"/>
      <c r="R508" s="657"/>
      <c r="S508" s="657"/>
      <c r="T508" s="657"/>
      <c r="U508" s="657"/>
      <c r="V508" s="657"/>
      <c r="W508" s="657"/>
      <c r="X508" s="657"/>
      <c r="Y508" s="657"/>
      <c r="Z508" s="657"/>
      <c r="AA508" s="657"/>
      <c r="AB508" s="657"/>
      <c r="AC508" s="657"/>
      <c r="AD508" s="726"/>
      <c r="AE508" s="726"/>
      <c r="AF508" s="726"/>
      <c r="AG508" s="766">
        <f>IF($C$505="Yes",(VLOOKUP($F$508,$AO$481:$AP$483,2,FALSE)),0)</f>
        <v>0</v>
      </c>
      <c r="AH508" s="767" t="s">
        <v>1329</v>
      </c>
      <c r="AI508" s="657"/>
      <c r="AJ508" s="657"/>
      <c r="AK508" s="741"/>
      <c r="AL508" s="549"/>
      <c r="AM508" s="549"/>
      <c r="AN508" s="533"/>
      <c r="AO508" s="535"/>
      <c r="AP508" s="787"/>
      <c r="AQ508" s="787"/>
      <c r="AR508" s="787"/>
      <c r="AS508" s="786"/>
      <c r="AT508" s="549"/>
      <c r="AU508" s="788"/>
      <c r="AV508" s="788"/>
      <c r="AW508" s="788"/>
      <c r="AX508" s="788"/>
      <c r="AY508" s="788"/>
      <c r="AZ508" s="788"/>
      <c r="BA508" s="788"/>
      <c r="BB508" s="535"/>
      <c r="BC508" s="535"/>
      <c r="BD508" s="535"/>
      <c r="BE508" s="787"/>
      <c r="BF508" s="787"/>
      <c r="BG508" s="787"/>
      <c r="BH508" s="786"/>
      <c r="BI508" s="549"/>
      <c r="BJ508" s="789"/>
      <c r="BK508" s="788"/>
      <c r="BL508" s="788"/>
      <c r="BM508" s="788"/>
      <c r="BN508" s="788"/>
      <c r="BO508" s="788"/>
      <c r="BP508" s="788"/>
      <c r="BQ508" s="535"/>
      <c r="BR508" s="549"/>
      <c r="BS508" s="535"/>
      <c r="BT508" s="535"/>
      <c r="BU508" s="535"/>
      <c r="BV508" s="535"/>
      <c r="BW508" s="535"/>
      <c r="BX508" s="535"/>
      <c r="BY508" s="535"/>
      <c r="BZ508" s="535"/>
      <c r="CA508" s="535"/>
      <c r="CB508" s="535"/>
      <c r="CC508" s="535"/>
    </row>
    <row r="509" spans="1:81" s="569" customFormat="1" hidden="1">
      <c r="A509" s="550"/>
      <c r="B509" s="550"/>
      <c r="C509" s="550"/>
      <c r="D509" s="550"/>
      <c r="E509" s="550"/>
      <c r="F509" s="550"/>
      <c r="G509" s="550"/>
      <c r="H509" s="550"/>
      <c r="I509" s="550"/>
      <c r="J509" s="550"/>
      <c r="K509" s="550"/>
      <c r="L509" s="550"/>
      <c r="M509" s="550"/>
      <c r="N509" s="550"/>
      <c r="O509" s="550"/>
      <c r="P509" s="550"/>
      <c r="Q509" s="550"/>
      <c r="R509" s="550"/>
      <c r="S509" s="550"/>
      <c r="T509" s="550"/>
      <c r="U509" s="550"/>
      <c r="V509" s="550"/>
      <c r="W509" s="550"/>
      <c r="X509" s="550"/>
      <c r="Y509" s="550"/>
      <c r="Z509" s="550"/>
      <c r="AA509" s="550"/>
      <c r="AB509" s="550"/>
      <c r="AC509" s="550"/>
      <c r="AD509" s="550"/>
      <c r="AE509" s="549"/>
      <c r="AF509" s="549"/>
      <c r="AG509" s="612"/>
      <c r="AH509" s="639"/>
      <c r="AI509" s="550"/>
      <c r="AJ509" s="550"/>
      <c r="AK509" s="549"/>
      <c r="AL509" s="549"/>
      <c r="AM509" s="549"/>
      <c r="AN509" s="533"/>
      <c r="AO509" s="535"/>
      <c r="AP509" s="787"/>
      <c r="AQ509" s="787"/>
      <c r="AR509" s="787"/>
      <c r="AS509" s="786"/>
      <c r="AT509" s="549"/>
      <c r="AU509" s="788"/>
      <c r="AV509" s="788"/>
      <c r="AW509" s="788"/>
      <c r="AX509" s="788"/>
      <c r="AY509" s="788"/>
      <c r="AZ509" s="788"/>
      <c r="BA509" s="788"/>
      <c r="BB509" s="535"/>
      <c r="BC509" s="535"/>
      <c r="BD509" s="535"/>
      <c r="BE509" s="787"/>
      <c r="BF509" s="787"/>
      <c r="BG509" s="787"/>
      <c r="BH509" s="786"/>
      <c r="BI509" s="549"/>
      <c r="BJ509" s="789"/>
      <c r="BK509" s="788"/>
      <c r="BL509" s="788"/>
      <c r="BM509" s="788"/>
      <c r="BN509" s="788"/>
      <c r="BO509" s="788"/>
      <c r="BP509" s="788"/>
      <c r="BQ509" s="535"/>
      <c r="BR509" s="549"/>
      <c r="BS509" s="535"/>
      <c r="BT509" s="535"/>
      <c r="BU509" s="535"/>
      <c r="BV509" s="535"/>
      <c r="BW509" s="535"/>
      <c r="BX509" s="535"/>
      <c r="BY509" s="535"/>
      <c r="BZ509" s="535"/>
      <c r="CA509" s="535"/>
      <c r="CB509" s="535"/>
      <c r="CC509" s="535"/>
    </row>
    <row r="510" spans="1:81" s="569" customFormat="1" hidden="1">
      <c r="A510" s="549"/>
      <c r="B510" s="549"/>
      <c r="C510" s="2555" t="s">
        <v>592</v>
      </c>
      <c r="D510" s="2556"/>
      <c r="E510" s="760" t="s">
        <v>1542</v>
      </c>
      <c r="F510" s="779" t="s">
        <v>1543</v>
      </c>
      <c r="G510" s="648"/>
      <c r="H510" s="648"/>
      <c r="I510" s="648"/>
      <c r="J510" s="648"/>
      <c r="K510" s="648"/>
      <c r="L510" s="648"/>
      <c r="M510" s="648"/>
      <c r="N510" s="648"/>
      <c r="O510" s="648"/>
      <c r="P510" s="648"/>
      <c r="Q510" s="648"/>
      <c r="R510" s="648"/>
      <c r="S510" s="648"/>
      <c r="T510" s="648"/>
      <c r="U510" s="648"/>
      <c r="V510" s="648"/>
      <c r="W510" s="648"/>
      <c r="X510" s="648"/>
      <c r="Y510" s="648"/>
      <c r="Z510" s="648"/>
      <c r="AA510" s="648"/>
      <c r="AB510" s="648"/>
      <c r="AC510" s="790"/>
      <c r="AD510" s="713"/>
      <c r="AE510" s="713"/>
      <c r="AF510" s="713"/>
      <c r="AG510" s="791"/>
      <c r="AH510" s="791"/>
      <c r="AI510" s="791"/>
      <c r="AJ510" s="791"/>
      <c r="AK510" s="744"/>
      <c r="AL510" s="549"/>
      <c r="AM510" s="549"/>
      <c r="AN510" s="533"/>
      <c r="AO510" s="535"/>
      <c r="AP510" s="787"/>
      <c r="AQ510" s="787"/>
      <c r="AR510" s="787"/>
      <c r="AS510" s="786"/>
      <c r="AT510" s="549"/>
      <c r="AU510" s="788"/>
      <c r="AV510" s="788"/>
      <c r="AW510" s="788"/>
      <c r="AX510" s="788"/>
      <c r="AY510" s="788"/>
      <c r="AZ510" s="788"/>
      <c r="BA510" s="788"/>
      <c r="BB510" s="535"/>
      <c r="BC510" s="535"/>
      <c r="BD510" s="535"/>
      <c r="BE510" s="787"/>
      <c r="BF510" s="787"/>
      <c r="BG510" s="787"/>
      <c r="BH510" s="786"/>
      <c r="BI510" s="549"/>
      <c r="BJ510" s="789"/>
      <c r="BK510" s="788"/>
      <c r="BL510" s="788"/>
      <c r="BM510" s="788"/>
      <c r="BN510" s="788"/>
      <c r="BO510" s="788"/>
      <c r="BP510" s="788"/>
      <c r="BQ510" s="535"/>
      <c r="BR510" s="549"/>
      <c r="BS510" s="535"/>
      <c r="BT510" s="535"/>
      <c r="BU510" s="535"/>
      <c r="BV510" s="535"/>
      <c r="BW510" s="535"/>
      <c r="BX510" s="535"/>
      <c r="BY510" s="535"/>
      <c r="BZ510" s="535"/>
      <c r="CA510" s="535"/>
      <c r="CB510" s="535"/>
      <c r="CC510" s="535"/>
    </row>
    <row r="511" spans="1:81" s="569" customFormat="1" hidden="1">
      <c r="A511" s="549"/>
      <c r="B511" s="549"/>
      <c r="C511" s="761"/>
      <c r="D511" s="549"/>
      <c r="E511" s="762"/>
      <c r="F511" s="550"/>
      <c r="G511" s="550"/>
      <c r="H511" s="550"/>
      <c r="I511" s="550"/>
      <c r="J511" s="550"/>
      <c r="K511" s="550"/>
      <c r="L511" s="550"/>
      <c r="M511" s="550"/>
      <c r="N511" s="550"/>
      <c r="O511" s="550"/>
      <c r="P511" s="550"/>
      <c r="Q511" s="550"/>
      <c r="R511" s="550"/>
      <c r="S511" s="550"/>
      <c r="T511" s="550"/>
      <c r="U511" s="550"/>
      <c r="V511" s="550"/>
      <c r="W511" s="550"/>
      <c r="X511" s="550"/>
      <c r="Y511" s="550"/>
      <c r="Z511" s="550"/>
      <c r="AA511" s="550"/>
      <c r="AB511" s="550"/>
      <c r="AC511" s="550"/>
      <c r="AD511" s="549"/>
      <c r="AE511" s="549"/>
      <c r="AF511" s="549"/>
      <c r="AG511" s="550"/>
      <c r="AH511" s="550"/>
      <c r="AI511" s="550"/>
      <c r="AJ511" s="550"/>
      <c r="AK511" s="731"/>
      <c r="AL511" s="549"/>
      <c r="AM511" s="549"/>
      <c r="AN511" s="533"/>
      <c r="AO511" s="535"/>
      <c r="AP511" s="787"/>
      <c r="AQ511" s="787"/>
      <c r="AR511" s="787"/>
      <c r="AS511" s="786"/>
      <c r="AT511" s="549"/>
      <c r="AU511" s="788"/>
      <c r="AV511" s="788"/>
      <c r="AW511" s="788"/>
      <c r="AX511" s="788"/>
      <c r="AY511" s="788"/>
      <c r="AZ511" s="788"/>
      <c r="BA511" s="788"/>
      <c r="BB511" s="535"/>
      <c r="BC511" s="535"/>
      <c r="BD511" s="535"/>
      <c r="BE511" s="787"/>
      <c r="BF511" s="787"/>
      <c r="BG511" s="787"/>
      <c r="BH511" s="786"/>
      <c r="BI511" s="549"/>
      <c r="BJ511" s="789"/>
      <c r="BK511" s="788"/>
      <c r="BL511" s="788"/>
      <c r="BM511" s="788"/>
      <c r="BN511" s="788"/>
      <c r="BO511" s="788"/>
      <c r="BP511" s="788"/>
      <c r="BQ511" s="535"/>
      <c r="BR511" s="14"/>
      <c r="BS511" s="535"/>
      <c r="BT511" s="535"/>
      <c r="BU511" s="535"/>
      <c r="BV511" s="535"/>
      <c r="BW511" s="535"/>
      <c r="BX511" s="535"/>
      <c r="BY511" s="535"/>
      <c r="BZ511" s="535"/>
      <c r="CA511" s="535"/>
      <c r="CB511" s="535"/>
      <c r="CC511" s="535"/>
    </row>
    <row r="512" spans="1:81" s="569" customFormat="1" hidden="1">
      <c r="A512" s="549"/>
      <c r="B512" s="549"/>
      <c r="C512" s="2619"/>
      <c r="D512" s="2620"/>
      <c r="E512" s="771"/>
      <c r="F512" s="550" t="s">
        <v>1544</v>
      </c>
      <c r="G512" s="550"/>
      <c r="H512" s="550"/>
      <c r="I512" s="550"/>
      <c r="J512" s="550"/>
      <c r="K512" s="550"/>
      <c r="L512" s="550"/>
      <c r="M512" s="550"/>
      <c r="N512" s="550"/>
      <c r="O512" s="550"/>
      <c r="P512" s="550"/>
      <c r="Q512" s="550"/>
      <c r="R512" s="550"/>
      <c r="S512" s="550"/>
      <c r="T512" s="550"/>
      <c r="U512" s="550"/>
      <c r="V512" s="550"/>
      <c r="W512" s="550"/>
      <c r="X512" s="550"/>
      <c r="Y512" s="550"/>
      <c r="Z512" s="550"/>
      <c r="AA512" s="550"/>
      <c r="AB512" s="550"/>
      <c r="AC512" s="590"/>
      <c r="AD512" s="549"/>
      <c r="AE512" s="549"/>
      <c r="AF512" s="549"/>
      <c r="AG512" s="612">
        <f>IF($C$510="Yes",(VLOOKUP($G$513,$AO$488:$AP$491,2,FALSE)),0)</f>
        <v>0</v>
      </c>
      <c r="AH512" s="639" t="s">
        <v>1329</v>
      </c>
      <c r="AI512" s="550"/>
      <c r="AJ512" s="612"/>
      <c r="AK512" s="731"/>
      <c r="AL512" s="549"/>
      <c r="AM512" s="549"/>
      <c r="AN512" s="533"/>
      <c r="AO512" s="535"/>
      <c r="AP512" s="787"/>
      <c r="AQ512" s="787"/>
      <c r="AR512" s="787"/>
      <c r="AS512" s="786"/>
      <c r="AT512" s="549"/>
      <c r="AU512" s="788"/>
      <c r="AV512" s="788"/>
      <c r="AW512" s="788"/>
      <c r="AX512" s="788"/>
      <c r="AY512" s="788"/>
      <c r="AZ512" s="788"/>
      <c r="BA512" s="788"/>
      <c r="BB512" s="535"/>
      <c r="BC512" s="535"/>
      <c r="BD512" s="535"/>
      <c r="BE512" s="787"/>
      <c r="BF512" s="787"/>
      <c r="BG512" s="787"/>
      <c r="BH512" s="786"/>
      <c r="BI512" s="549"/>
      <c r="BJ512" s="789"/>
      <c r="BK512" s="788"/>
      <c r="BL512" s="788"/>
      <c r="BM512" s="788"/>
      <c r="BN512" s="788"/>
      <c r="BO512" s="788"/>
      <c r="BP512" s="788"/>
      <c r="BQ512" s="535"/>
      <c r="BR512" s="549"/>
      <c r="BS512" s="535"/>
      <c r="BT512" s="535"/>
      <c r="BU512" s="535"/>
      <c r="BV512" s="535"/>
      <c r="BW512" s="535"/>
      <c r="BX512" s="535"/>
      <c r="BY512" s="535"/>
      <c r="BZ512" s="535"/>
      <c r="CA512" s="535"/>
      <c r="CB512" s="535"/>
      <c r="CC512" s="535"/>
    </row>
    <row r="513" spans="1:81" s="569" customFormat="1" hidden="1">
      <c r="A513" s="549"/>
      <c r="B513" s="549"/>
      <c r="C513" s="761"/>
      <c r="D513" s="549"/>
      <c r="E513" s="762"/>
      <c r="F513" s="550"/>
      <c r="G513" s="2621" t="s">
        <v>592</v>
      </c>
      <c r="H513" s="2621"/>
      <c r="I513" s="2621"/>
      <c r="J513" s="2621"/>
      <c r="K513" s="2621"/>
      <c r="L513" s="2621"/>
      <c r="M513" s="2621"/>
      <c r="N513" s="2621"/>
      <c r="O513" s="2621"/>
      <c r="P513" s="2621"/>
      <c r="Q513" s="2621"/>
      <c r="R513" s="2621"/>
      <c r="S513" s="2621"/>
      <c r="T513" s="2621"/>
      <c r="U513" s="2621"/>
      <c r="V513" s="2621"/>
      <c r="W513" s="2621"/>
      <c r="X513" s="2621"/>
      <c r="Y513" s="2621"/>
      <c r="Z513" s="2621"/>
      <c r="AA513" s="2621"/>
      <c r="AB513" s="2621"/>
      <c r="AC513" s="2621"/>
      <c r="AD513" s="2621"/>
      <c r="AE513" s="2621"/>
      <c r="AF513" s="2621"/>
      <c r="AG513" s="549"/>
      <c r="AH513" s="549"/>
      <c r="AI513" s="549"/>
      <c r="AJ513" s="550"/>
      <c r="AK513" s="731"/>
      <c r="AL513" s="549"/>
      <c r="AM513" s="549"/>
      <c r="AN513" s="533"/>
      <c r="AO513" s="535"/>
      <c r="AP513" s="787"/>
      <c r="AQ513" s="787"/>
      <c r="AR513" s="787"/>
      <c r="AS513" s="786"/>
      <c r="AT513" s="549"/>
      <c r="AU513" s="788"/>
      <c r="AV513" s="788"/>
      <c r="AW513" s="788"/>
      <c r="AX513" s="788"/>
      <c r="AY513" s="788"/>
      <c r="AZ513" s="788"/>
      <c r="BA513" s="788"/>
      <c r="BB513" s="535"/>
      <c r="BC513" s="535"/>
      <c r="BD513" s="535"/>
      <c r="BE513" s="787"/>
      <c r="BF513" s="787"/>
      <c r="BG513" s="787"/>
      <c r="BH513" s="786"/>
      <c r="BI513" s="549"/>
      <c r="BJ513" s="789"/>
      <c r="BK513" s="788"/>
      <c r="BL513" s="788"/>
      <c r="BM513" s="788"/>
      <c r="BN513" s="788"/>
      <c r="BO513" s="788"/>
      <c r="BP513" s="788"/>
      <c r="BQ513" s="535"/>
      <c r="BR513" s="549"/>
      <c r="BS513" s="535"/>
      <c r="BT513" s="535"/>
      <c r="BU513" s="535"/>
      <c r="BV513" s="535"/>
      <c r="BW513" s="535"/>
      <c r="BX513" s="535"/>
      <c r="BY513" s="535"/>
      <c r="BZ513" s="535"/>
      <c r="CA513" s="535"/>
      <c r="CB513" s="535"/>
      <c r="CC513" s="535"/>
    </row>
    <row r="514" spans="1:81" s="569" customFormat="1" hidden="1">
      <c r="A514" s="549"/>
      <c r="B514" s="549"/>
      <c r="C514" s="730"/>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49"/>
      <c r="AE514" s="549"/>
      <c r="AF514" s="549"/>
      <c r="AG514" s="14"/>
      <c r="AH514" s="14"/>
      <c r="AI514" s="14"/>
      <c r="AJ514" s="14"/>
      <c r="AK514" s="731"/>
      <c r="AL514" s="549"/>
      <c r="AM514" s="549"/>
      <c r="AN514" s="533"/>
      <c r="AO514" s="535"/>
      <c r="AP514" s="787"/>
      <c r="AQ514" s="787"/>
      <c r="AR514" s="787"/>
      <c r="AS514" s="786"/>
      <c r="AT514" s="549"/>
      <c r="AU514" s="788"/>
      <c r="AV514" s="788"/>
      <c r="AW514" s="788"/>
      <c r="AX514" s="788"/>
      <c r="AY514" s="788"/>
      <c r="AZ514" s="788"/>
      <c r="BA514" s="788"/>
      <c r="BB514" s="535"/>
      <c r="BC514" s="535"/>
      <c r="BD514" s="535"/>
      <c r="BE514" s="787"/>
      <c r="BF514" s="787"/>
      <c r="BG514" s="787"/>
      <c r="BH514" s="786"/>
      <c r="BI514" s="549"/>
      <c r="BJ514" s="789"/>
      <c r="BK514" s="788"/>
      <c r="BL514" s="788"/>
      <c r="BM514" s="788"/>
      <c r="BN514" s="788"/>
      <c r="BO514" s="788"/>
      <c r="BP514" s="788"/>
      <c r="BQ514" s="535"/>
      <c r="BR514" s="549"/>
      <c r="BS514" s="535"/>
      <c r="BT514" s="535"/>
      <c r="BU514" s="535"/>
      <c r="BV514" s="535"/>
      <c r="BW514" s="535"/>
      <c r="BX514" s="535"/>
      <c r="BY514" s="535"/>
      <c r="BZ514" s="535"/>
      <c r="CA514" s="535"/>
      <c r="CB514" s="535"/>
      <c r="CC514" s="535"/>
    </row>
    <row r="515" spans="1:81" s="569" customFormat="1" ht="12.75" hidden="1" customHeight="1">
      <c r="A515" s="14"/>
      <c r="B515" s="549"/>
      <c r="C515" s="2559" t="s">
        <v>592</v>
      </c>
      <c r="D515" s="2560"/>
      <c r="F515" s="550" t="s">
        <v>1545</v>
      </c>
      <c r="G515" s="550"/>
      <c r="H515" s="550"/>
      <c r="I515" s="550"/>
      <c r="J515" s="550"/>
      <c r="K515" s="550"/>
      <c r="L515" s="550"/>
      <c r="M515" s="550"/>
      <c r="N515" s="550"/>
      <c r="O515" s="550"/>
      <c r="P515" s="550"/>
      <c r="Q515" s="550"/>
      <c r="R515" s="550"/>
      <c r="S515" s="550"/>
      <c r="T515" s="550"/>
      <c r="U515" s="550"/>
      <c r="V515" s="550"/>
      <c r="W515" s="550"/>
      <c r="X515" s="550"/>
      <c r="Y515" s="550"/>
      <c r="Z515" s="550"/>
      <c r="AA515" s="550"/>
      <c r="AB515" s="550"/>
      <c r="AC515" s="590"/>
      <c r="AD515" s="549"/>
      <c r="AE515" s="549"/>
      <c r="AF515" s="549"/>
      <c r="AG515" s="612">
        <f>IF(AND($C$515="Yes",$C$510="Yes"),2,0)</f>
        <v>0</v>
      </c>
      <c r="AH515" s="639" t="s">
        <v>1329</v>
      </c>
      <c r="AI515" s="550"/>
      <c r="AJ515" s="593"/>
      <c r="AK515" s="731"/>
      <c r="AL515" s="549"/>
      <c r="AM515" s="549"/>
      <c r="AN515" s="533"/>
      <c r="AO515" s="535"/>
      <c r="AP515" s="787"/>
      <c r="AQ515" s="787"/>
      <c r="AR515" s="787"/>
      <c r="AS515" s="786"/>
      <c r="AT515" s="549"/>
      <c r="AU515" s="788"/>
      <c r="AV515" s="788"/>
      <c r="AW515" s="788"/>
      <c r="AX515" s="788"/>
      <c r="AY515" s="788"/>
      <c r="AZ515" s="788"/>
      <c r="BA515" s="788"/>
      <c r="BB515" s="535"/>
      <c r="BC515" s="535"/>
      <c r="BD515" s="535"/>
      <c r="BE515" s="787"/>
      <c r="BF515" s="787"/>
      <c r="BG515" s="787"/>
      <c r="BH515" s="786"/>
      <c r="BI515" s="549"/>
      <c r="BJ515" s="789"/>
      <c r="BK515" s="788"/>
      <c r="BL515" s="788"/>
      <c r="BM515" s="788"/>
      <c r="BN515" s="788"/>
      <c r="BO515" s="788"/>
      <c r="BP515" s="788"/>
      <c r="BQ515" s="535"/>
      <c r="BR515" s="549"/>
      <c r="BS515" s="535"/>
      <c r="BT515" s="535"/>
      <c r="BU515" s="535"/>
      <c r="BV515" s="535"/>
      <c r="BW515" s="535"/>
      <c r="BX515" s="535"/>
      <c r="BY515" s="535"/>
      <c r="BZ515" s="535"/>
      <c r="CA515" s="535"/>
      <c r="CB515" s="535"/>
      <c r="CC515" s="535"/>
    </row>
    <row r="516" spans="1:81" s="569" customFormat="1" hidden="1">
      <c r="A516" s="14"/>
      <c r="B516" s="549"/>
      <c r="C516" s="780"/>
      <c r="D516" s="729"/>
      <c r="E516" s="729"/>
      <c r="F516" s="550"/>
      <c r="G516" s="550" t="s">
        <v>1546</v>
      </c>
      <c r="H516" s="550"/>
      <c r="I516" s="550"/>
      <c r="J516" s="550"/>
      <c r="K516" s="550"/>
      <c r="L516" s="550"/>
      <c r="M516" s="550"/>
      <c r="N516" s="550"/>
      <c r="O516" s="550"/>
      <c r="P516" s="550"/>
      <c r="Q516" s="550"/>
      <c r="R516" s="550"/>
      <c r="S516" s="550"/>
      <c r="T516" s="550"/>
      <c r="U516" s="550"/>
      <c r="V516" s="550"/>
      <c r="W516" s="550"/>
      <c r="X516" s="550"/>
      <c r="Y516" s="550"/>
      <c r="Z516" s="550"/>
      <c r="AA516" s="550"/>
      <c r="AB516" s="550"/>
      <c r="AC516" s="590"/>
      <c r="AD516" s="549"/>
      <c r="AE516" s="549"/>
      <c r="AF516" s="549"/>
      <c r="AG516" s="593"/>
      <c r="AH516" s="593"/>
      <c r="AI516" s="593"/>
      <c r="AJ516" s="593"/>
      <c r="AK516" s="731"/>
      <c r="AL516" s="549"/>
      <c r="AM516" s="549"/>
      <c r="AN516" s="596"/>
      <c r="AO516" s="535"/>
      <c r="AP516" s="787"/>
      <c r="AQ516" s="787"/>
      <c r="AR516" s="787"/>
      <c r="AS516" s="786"/>
      <c r="AT516" s="549"/>
      <c r="AU516" s="788"/>
      <c r="AV516" s="788"/>
      <c r="AW516" s="788"/>
      <c r="AX516" s="788"/>
      <c r="AY516" s="788"/>
      <c r="AZ516" s="788"/>
      <c r="BA516" s="788"/>
      <c r="BB516" s="535"/>
      <c r="BC516" s="535"/>
      <c r="BD516" s="535"/>
      <c r="BE516" s="787"/>
      <c r="BF516" s="787"/>
      <c r="BG516" s="787"/>
      <c r="BH516" s="786"/>
      <c r="BI516" s="549"/>
      <c r="BJ516" s="789"/>
      <c r="BK516" s="788"/>
      <c r="BL516" s="788"/>
      <c r="BM516" s="788"/>
      <c r="BN516" s="788"/>
      <c r="BO516" s="788"/>
      <c r="BP516" s="788"/>
      <c r="BQ516" s="535"/>
      <c r="BR516" s="549"/>
      <c r="BS516" s="535"/>
      <c r="BT516" s="535"/>
      <c r="BU516" s="535"/>
      <c r="BV516" s="535"/>
      <c r="BW516" s="535"/>
      <c r="BX516" s="535"/>
      <c r="BY516" s="535"/>
      <c r="BZ516" s="535"/>
      <c r="CA516" s="535"/>
      <c r="CB516" s="535"/>
      <c r="CC516" s="535"/>
    </row>
    <row r="517" spans="1:81" s="549" customFormat="1" ht="12.75" hidden="1" customHeight="1">
      <c r="A517" s="14"/>
      <c r="C517" s="780"/>
      <c r="D517" s="729"/>
      <c r="E517" s="729"/>
      <c r="F517" s="550"/>
      <c r="G517" s="550" t="s">
        <v>1547</v>
      </c>
      <c r="H517" s="550"/>
      <c r="I517" s="550"/>
      <c r="J517" s="550"/>
      <c r="K517" s="550"/>
      <c r="L517" s="550"/>
      <c r="M517" s="550"/>
      <c r="N517" s="550"/>
      <c r="O517" s="550"/>
      <c r="P517" s="550"/>
      <c r="Q517" s="550"/>
      <c r="R517" s="550"/>
      <c r="S517" s="550"/>
      <c r="T517" s="550"/>
      <c r="U517" s="550"/>
      <c r="V517" s="550"/>
      <c r="W517" s="550"/>
      <c r="X517" s="550"/>
      <c r="Y517" s="550"/>
      <c r="Z517" s="550"/>
      <c r="AA517" s="550"/>
      <c r="AB517" s="550"/>
      <c r="AC517" s="590"/>
      <c r="AG517" s="593"/>
      <c r="AH517" s="593"/>
      <c r="AI517" s="593"/>
      <c r="AJ517" s="593"/>
      <c r="AK517" s="731"/>
      <c r="AN517" s="534"/>
      <c r="AP517" s="535"/>
      <c r="AQ517" s="535"/>
      <c r="AR517" s="535"/>
    </row>
    <row r="518" spans="1:81" s="549" customFormat="1" ht="12.75" hidden="1" customHeight="1">
      <c r="A518" s="636"/>
      <c r="B518" s="14"/>
      <c r="C518" s="792"/>
      <c r="D518" s="14"/>
      <c r="G518" s="610"/>
      <c r="H518" s="610"/>
      <c r="I518" s="610"/>
      <c r="J518" s="610"/>
      <c r="K518" s="610"/>
      <c r="L518" s="610"/>
      <c r="M518" s="610"/>
      <c r="N518" s="610"/>
      <c r="O518" s="610"/>
      <c r="P518" s="610"/>
      <c r="Q518" s="610"/>
      <c r="R518" s="610"/>
      <c r="S518" s="610"/>
      <c r="T518" s="610"/>
      <c r="U518" s="610"/>
      <c r="V518" s="610"/>
      <c r="W518" s="610"/>
      <c r="X518" s="610"/>
      <c r="Y518" s="610"/>
      <c r="Z518" s="610"/>
      <c r="AA518" s="610"/>
      <c r="AB518" s="610"/>
      <c r="AC518" s="610"/>
      <c r="AD518" s="610"/>
      <c r="AE518" s="610"/>
      <c r="AF518" s="610"/>
      <c r="AG518" s="590"/>
      <c r="AH518" s="590"/>
      <c r="AI518" s="590"/>
      <c r="AJ518" s="590"/>
      <c r="AK518" s="793"/>
      <c r="AL518" s="14"/>
      <c r="AM518" s="14"/>
      <c r="AN518" s="534"/>
      <c r="AO518" s="535"/>
      <c r="AP518" s="535"/>
      <c r="AQ518" s="535"/>
      <c r="AR518" s="535"/>
    </row>
    <row r="519" spans="1:81" s="549" customFormat="1" ht="12.75" hidden="1" customHeight="1">
      <c r="A519" s="636"/>
      <c r="C519" s="2559" t="s">
        <v>592</v>
      </c>
      <c r="D519" s="2560"/>
      <c r="F519" s="794" t="s">
        <v>1548</v>
      </c>
      <c r="G519" s="2533" t="s">
        <v>1549</v>
      </c>
      <c r="H519" s="2533"/>
      <c r="I519" s="2533"/>
      <c r="J519" s="2533"/>
      <c r="K519" s="2533"/>
      <c r="L519" s="2533"/>
      <c r="M519" s="2533"/>
      <c r="N519" s="2533"/>
      <c r="O519" s="2533"/>
      <c r="P519" s="2533"/>
      <c r="Q519" s="2533"/>
      <c r="R519" s="2533"/>
      <c r="S519" s="2533"/>
      <c r="T519" s="2533"/>
      <c r="U519" s="2533"/>
      <c r="V519" s="2533"/>
      <c r="W519" s="2533"/>
      <c r="X519" s="2533"/>
      <c r="Y519" s="2533"/>
      <c r="Z519" s="2533"/>
      <c r="AA519" s="2533"/>
      <c r="AB519" s="2533"/>
      <c r="AC519" s="2533"/>
      <c r="AD519" s="2533"/>
      <c r="AE519" s="2533"/>
      <c r="AF519" s="2533"/>
      <c r="AG519" s="612">
        <f>IF(AND($C$519="Yes",$C$510="Yes"),2,0)</f>
        <v>0</v>
      </c>
      <c r="AH519" s="639" t="s">
        <v>1329</v>
      </c>
      <c r="AI519" s="550"/>
      <c r="AJ519" s="593"/>
      <c r="AK519" s="731"/>
      <c r="AN519" s="534"/>
      <c r="AZ519" s="538"/>
      <c r="BC519" s="542"/>
      <c r="BD519" s="538"/>
      <c r="BE519" s="538"/>
      <c r="BF519" s="538"/>
      <c r="BM519" s="535"/>
      <c r="BN519" s="538"/>
      <c r="BO519" s="535"/>
      <c r="BP519" s="538"/>
      <c r="BQ519" s="538"/>
      <c r="BR519" s="538"/>
      <c r="BS519" s="538"/>
      <c r="BT519" s="538"/>
      <c r="BU519" s="538"/>
      <c r="BV519" s="535"/>
      <c r="BW519" s="535"/>
      <c r="BX519" s="535"/>
      <c r="BY519" s="535"/>
      <c r="BZ519" s="535"/>
      <c r="CA519" s="535"/>
      <c r="CB519" s="535"/>
      <c r="CC519" s="535"/>
    </row>
    <row r="520" spans="1:81" s="549" customFormat="1" ht="12.75" hidden="1" customHeight="1">
      <c r="C520" s="795"/>
      <c r="D520" s="726"/>
      <c r="E520" s="764"/>
      <c r="F520" s="725"/>
      <c r="G520" s="2552"/>
      <c r="H520" s="2552"/>
      <c r="I520" s="2552"/>
      <c r="J520" s="2552"/>
      <c r="K520" s="2552"/>
      <c r="L520" s="2552"/>
      <c r="M520" s="2552"/>
      <c r="N520" s="2552"/>
      <c r="O520" s="2552"/>
      <c r="P520" s="2552"/>
      <c r="Q520" s="2552"/>
      <c r="R520" s="2552"/>
      <c r="S520" s="2552"/>
      <c r="T520" s="2552"/>
      <c r="U520" s="2552"/>
      <c r="V520" s="2552"/>
      <c r="W520" s="2552"/>
      <c r="X520" s="2552"/>
      <c r="Y520" s="2552"/>
      <c r="Z520" s="2552"/>
      <c r="AA520" s="2552"/>
      <c r="AB520" s="2552"/>
      <c r="AC520" s="2552"/>
      <c r="AD520" s="2552"/>
      <c r="AE520" s="2552"/>
      <c r="AF520" s="2552"/>
      <c r="AG520" s="657"/>
      <c r="AH520" s="657"/>
      <c r="AI520" s="657"/>
      <c r="AJ520" s="657"/>
      <c r="AK520" s="741"/>
      <c r="AN520" s="534"/>
      <c r="AZ520" s="538"/>
      <c r="BC520" s="542"/>
      <c r="BD520" s="538"/>
      <c r="BE520" s="538"/>
      <c r="BF520" s="538"/>
      <c r="BM520" s="594"/>
      <c r="BN520" s="594"/>
      <c r="BO520" s="594"/>
      <c r="BP520" s="594"/>
      <c r="BQ520" s="594"/>
      <c r="BR520" s="594"/>
      <c r="BS520" s="594"/>
      <c r="BT520" s="594"/>
      <c r="BU520" s="594"/>
      <c r="BV520" s="594"/>
      <c r="BW520" s="594"/>
      <c r="BX520" s="594"/>
      <c r="BY520" s="594"/>
      <c r="BZ520" s="594"/>
      <c r="CA520" s="594"/>
      <c r="CB520" s="594"/>
      <c r="CC520" s="594"/>
    </row>
    <row r="521" spans="1:81" s="549" customFormat="1" ht="12.75" hidden="1" customHeight="1">
      <c r="C521" s="535"/>
      <c r="E521" s="762"/>
      <c r="F521" s="602"/>
      <c r="G521" s="572"/>
      <c r="H521" s="572"/>
      <c r="I521" s="572"/>
      <c r="J521" s="572"/>
      <c r="K521" s="572"/>
      <c r="L521" s="572"/>
      <c r="M521" s="572"/>
      <c r="N521" s="572"/>
      <c r="O521" s="572"/>
      <c r="P521" s="572"/>
      <c r="Q521" s="572"/>
      <c r="R521" s="572"/>
      <c r="S521" s="572"/>
      <c r="T521" s="572"/>
      <c r="U521" s="572"/>
      <c r="V521" s="572"/>
      <c r="W521" s="572"/>
      <c r="X521" s="572"/>
      <c r="Y521" s="572"/>
      <c r="Z521" s="572"/>
      <c r="AA521" s="572"/>
      <c r="AB521" s="572"/>
      <c r="AC521" s="572"/>
      <c r="AD521" s="572"/>
      <c r="AE521" s="572"/>
      <c r="AF521" s="572"/>
      <c r="AG521" s="550"/>
      <c r="AH521" s="550"/>
      <c r="AI521" s="550"/>
      <c r="AJ521" s="550"/>
      <c r="AN521" s="534"/>
      <c r="AP521" s="538"/>
      <c r="AQ521" s="538"/>
      <c r="AR521" s="538"/>
      <c r="AS521" s="538"/>
      <c r="AT521" s="538"/>
      <c r="AU521" s="538"/>
      <c r="AV521" s="538"/>
      <c r="AW521" s="538"/>
      <c r="AX521" s="538"/>
      <c r="AY521" s="538"/>
      <c r="AZ521" s="538"/>
      <c r="BA521" s="538"/>
      <c r="BB521" s="538"/>
      <c r="BC521" s="538"/>
      <c r="BD521" s="538"/>
      <c r="BE521" s="538"/>
      <c r="BF521" s="538"/>
      <c r="BG521" s="538"/>
      <c r="BH521" s="538"/>
      <c r="BI521" s="542"/>
      <c r="BJ521" s="796"/>
      <c r="BK521" s="796"/>
      <c r="BM521" s="594"/>
      <c r="BN521" s="594"/>
      <c r="BO521" s="594"/>
      <c r="BP521" s="594"/>
      <c r="BQ521" s="594"/>
      <c r="BR521" s="594"/>
      <c r="BS521" s="594"/>
      <c r="BT521" s="594"/>
      <c r="BU521" s="594"/>
      <c r="BV521" s="594"/>
      <c r="BW521" s="594"/>
      <c r="BX521" s="594"/>
      <c r="BY521" s="594"/>
      <c r="BZ521" s="594"/>
      <c r="CA521" s="594"/>
      <c r="CB521" s="594"/>
      <c r="CC521" s="594"/>
    </row>
    <row r="522" spans="1:81" s="549" customFormat="1" ht="12.75" hidden="1" customHeight="1">
      <c r="C522" s="797" t="s">
        <v>1550</v>
      </c>
      <c r="D522" s="713"/>
      <c r="E522" s="798"/>
      <c r="F522" s="799"/>
      <c r="G522" s="800"/>
      <c r="H522" s="800"/>
      <c r="I522" s="800"/>
      <c r="J522" s="800"/>
      <c r="K522" s="800"/>
      <c r="L522" s="800"/>
      <c r="M522" s="800"/>
      <c r="N522" s="800"/>
      <c r="O522" s="800"/>
      <c r="P522" s="800"/>
      <c r="Q522" s="800"/>
      <c r="R522" s="800"/>
      <c r="S522" s="800"/>
      <c r="T522" s="800"/>
      <c r="U522" s="800"/>
      <c r="V522" s="800"/>
      <c r="W522" s="800"/>
      <c r="X522" s="800"/>
      <c r="Y522" s="800"/>
      <c r="Z522" s="800"/>
      <c r="AA522" s="800"/>
      <c r="AB522" s="800"/>
      <c r="AC522" s="800"/>
      <c r="AD522" s="800"/>
      <c r="AE522" s="800"/>
      <c r="AF522" s="800"/>
      <c r="AG522" s="648"/>
      <c r="AH522" s="648"/>
      <c r="AI522" s="648"/>
      <c r="AJ522" s="648"/>
      <c r="AK522" s="744"/>
      <c r="AN522" s="596"/>
      <c r="AP522" s="538"/>
      <c r="AQ522" s="538"/>
      <c r="AR522" s="538"/>
      <c r="AS522" s="538"/>
      <c r="AT522" s="538"/>
      <c r="AU522" s="538"/>
      <c r="AV522" s="538"/>
      <c r="AW522" s="538"/>
      <c r="AX522" s="538"/>
      <c r="AY522" s="538"/>
      <c r="AZ522" s="538"/>
      <c r="BA522" s="538"/>
      <c r="BB522" s="538"/>
      <c r="BC522" s="538"/>
      <c r="BD522" s="538"/>
      <c r="BE522" s="538"/>
      <c r="BF522" s="538"/>
      <c r="BG522" s="538"/>
      <c r="BH522" s="538"/>
      <c r="BI522" s="636"/>
      <c r="BJ522" s="796"/>
      <c r="BK522" s="796"/>
      <c r="BM522" s="594"/>
      <c r="BN522" s="594"/>
      <c r="BO522" s="594"/>
      <c r="BP522" s="594"/>
      <c r="BQ522" s="594"/>
      <c r="BR522" s="594"/>
      <c r="BS522" s="594"/>
      <c r="BT522" s="594"/>
      <c r="BU522" s="594"/>
      <c r="BV522" s="594"/>
      <c r="BW522" s="594"/>
      <c r="BX522" s="594"/>
      <c r="BY522" s="594"/>
      <c r="BZ522" s="594"/>
      <c r="CA522" s="594"/>
      <c r="CB522" s="594"/>
      <c r="CC522" s="594"/>
    </row>
    <row r="523" spans="1:81" s="549" customFormat="1" ht="12.75" hidden="1" customHeight="1">
      <c r="C523" s="2561" t="s">
        <v>592</v>
      </c>
      <c r="D523" s="2562"/>
      <c r="E523" s="801" t="s">
        <v>1551</v>
      </c>
      <c r="F523" s="770" t="s">
        <v>1552</v>
      </c>
      <c r="G523" s="572"/>
      <c r="H523" s="572"/>
      <c r="I523" s="572"/>
      <c r="J523" s="572"/>
      <c r="K523" s="572"/>
      <c r="L523" s="572"/>
      <c r="M523" s="572"/>
      <c r="N523" s="572"/>
      <c r="O523" s="572"/>
      <c r="P523" s="572"/>
      <c r="Q523" s="572"/>
      <c r="R523" s="572"/>
      <c r="S523" s="572"/>
      <c r="T523" s="572"/>
      <c r="U523" s="572"/>
      <c r="V523" s="572"/>
      <c r="W523" s="572"/>
      <c r="X523" s="572"/>
      <c r="Y523" s="572"/>
      <c r="Z523" s="572"/>
      <c r="AA523" s="572"/>
      <c r="AB523" s="572"/>
      <c r="AC523" s="572"/>
      <c r="AD523" s="572"/>
      <c r="AE523" s="572"/>
      <c r="AF523" s="572"/>
      <c r="AG523" s="612">
        <f>IF(C$523="Yes",(VLOOKUP(F$524,$AO$494:$AP$497,2,FALSE)),0)</f>
        <v>0</v>
      </c>
      <c r="AH523" s="639" t="s">
        <v>1329</v>
      </c>
      <c r="AI523" s="550"/>
      <c r="AJ523" s="550"/>
      <c r="AK523" s="731"/>
      <c r="AN523" s="596"/>
      <c r="AP523" s="538"/>
      <c r="AQ523" s="538"/>
      <c r="AR523" s="538"/>
      <c r="AS523" s="538"/>
      <c r="AT523" s="538"/>
      <c r="AU523" s="538"/>
      <c r="AV523" s="538"/>
      <c r="AW523" s="538"/>
      <c r="AX523" s="538"/>
      <c r="AY523" s="538"/>
      <c r="AZ523" s="538"/>
      <c r="BA523" s="538"/>
      <c r="BB523" s="538"/>
      <c r="BC523" s="538"/>
      <c r="BD523" s="538"/>
      <c r="BE523" s="538"/>
      <c r="BF523" s="538"/>
      <c r="BG523" s="538"/>
      <c r="BH523" s="538"/>
      <c r="BI523" s="636"/>
      <c r="BJ523" s="796"/>
      <c r="BK523" s="796"/>
      <c r="BM523" s="535"/>
      <c r="BN523" s="535"/>
      <c r="BO523" s="535"/>
      <c r="BP523" s="535"/>
      <c r="BQ523" s="535"/>
      <c r="BR523" s="535"/>
      <c r="BS523" s="535"/>
      <c r="BT523" s="535"/>
      <c r="BU523" s="535"/>
      <c r="BV523" s="535"/>
      <c r="BW523" s="535"/>
      <c r="BX523" s="535"/>
      <c r="BY523" s="535"/>
      <c r="BZ523" s="535"/>
      <c r="CA523" s="535"/>
      <c r="CB523" s="535"/>
      <c r="CC523" s="535"/>
    </row>
    <row r="524" spans="1:81" s="549" customFormat="1" ht="12.75" hidden="1" customHeight="1">
      <c r="C524" s="717"/>
      <c r="E524" s="762"/>
      <c r="F524" s="2563" t="s">
        <v>592</v>
      </c>
      <c r="G524" s="2563"/>
      <c r="H524" s="2563"/>
      <c r="I524" s="2563"/>
      <c r="J524" s="2563"/>
      <c r="K524" s="2563"/>
      <c r="L524" s="2563"/>
      <c r="M524" s="2563"/>
      <c r="N524" s="2563"/>
      <c r="O524" s="2563"/>
      <c r="P524" s="2563"/>
      <c r="Q524" s="2563"/>
      <c r="R524" s="2563"/>
      <c r="S524" s="2563"/>
      <c r="T524" s="2563"/>
      <c r="U524" s="2563"/>
      <c r="V524" s="2563"/>
      <c r="W524" s="2563"/>
      <c r="X524" s="2563"/>
      <c r="Y524" s="2563"/>
      <c r="Z524" s="2563"/>
      <c r="AA524" s="2563"/>
      <c r="AB524" s="2563"/>
      <c r="AC524" s="2563"/>
      <c r="AD524" s="2563"/>
      <c r="AE524" s="2563"/>
      <c r="AF524" s="2563"/>
      <c r="AG524" s="550"/>
      <c r="AH524" s="550"/>
      <c r="AI524" s="550"/>
      <c r="AJ524" s="550"/>
      <c r="AK524" s="731"/>
      <c r="AN524" s="596"/>
      <c r="BM524" s="535"/>
      <c r="BN524" s="535"/>
      <c r="BO524" s="535"/>
      <c r="BP524" s="535"/>
      <c r="BQ524" s="535"/>
      <c r="BR524" s="535"/>
      <c r="BS524" s="535"/>
      <c r="BT524" s="535"/>
      <c r="BU524" s="535"/>
      <c r="BV524" s="535"/>
      <c r="BW524" s="535"/>
      <c r="BX524" s="535"/>
      <c r="BY524" s="535"/>
      <c r="BZ524" s="535"/>
      <c r="CA524" s="535"/>
      <c r="CB524" s="535"/>
      <c r="CC524" s="535"/>
    </row>
    <row r="525" spans="1:81" s="549" customFormat="1" ht="12.75" hidden="1" customHeight="1">
      <c r="C525" s="795"/>
      <c r="D525" s="726"/>
      <c r="E525" s="764"/>
      <c r="F525" s="2564"/>
      <c r="G525" s="2564"/>
      <c r="H525" s="2564"/>
      <c r="I525" s="2564"/>
      <c r="J525" s="2564"/>
      <c r="K525" s="2564"/>
      <c r="L525" s="2564"/>
      <c r="M525" s="2564"/>
      <c r="N525" s="2564"/>
      <c r="O525" s="2564"/>
      <c r="P525" s="2564"/>
      <c r="Q525" s="2564"/>
      <c r="R525" s="2564"/>
      <c r="S525" s="2564"/>
      <c r="T525" s="2564"/>
      <c r="U525" s="2564"/>
      <c r="V525" s="2564"/>
      <c r="W525" s="2564"/>
      <c r="X525" s="2564"/>
      <c r="Y525" s="2564"/>
      <c r="Z525" s="2564"/>
      <c r="AA525" s="2564"/>
      <c r="AB525" s="2564"/>
      <c r="AC525" s="2564"/>
      <c r="AD525" s="2564"/>
      <c r="AE525" s="2564"/>
      <c r="AF525" s="2564"/>
      <c r="AG525" s="657"/>
      <c r="AH525" s="657"/>
      <c r="AI525" s="657"/>
      <c r="AJ525" s="657"/>
      <c r="AK525" s="741"/>
      <c r="AN525" s="596"/>
      <c r="BM525" s="535"/>
      <c r="BN525" s="535"/>
      <c r="BO525" s="535"/>
      <c r="BP525" s="535"/>
      <c r="BQ525" s="535"/>
      <c r="BR525" s="535"/>
      <c r="BS525" s="535"/>
      <c r="BT525" s="535"/>
      <c r="BU525" s="535"/>
      <c r="BV525" s="535"/>
      <c r="BW525" s="535"/>
      <c r="BX525" s="535"/>
      <c r="BY525" s="535"/>
      <c r="BZ525" s="535"/>
      <c r="CA525" s="535"/>
      <c r="CB525" s="535"/>
      <c r="CC525" s="535"/>
    </row>
    <row r="526" spans="1:81" s="549" customFormat="1" ht="12.75" hidden="1" customHeight="1">
      <c r="A526" s="636"/>
      <c r="C526" s="550"/>
      <c r="E526" s="550"/>
      <c r="F526" s="770"/>
      <c r="G526" s="550"/>
      <c r="H526" s="550"/>
      <c r="I526" s="550"/>
      <c r="J526" s="550"/>
      <c r="K526" s="550"/>
      <c r="L526" s="550"/>
      <c r="M526" s="550"/>
      <c r="N526" s="550"/>
      <c r="O526" s="550"/>
      <c r="P526" s="550"/>
      <c r="Q526" s="550"/>
      <c r="R526" s="550"/>
      <c r="S526" s="550"/>
      <c r="T526" s="550"/>
      <c r="U526" s="550"/>
      <c r="V526" s="550"/>
      <c r="W526" s="550"/>
      <c r="X526" s="550"/>
      <c r="Y526" s="550"/>
      <c r="Z526" s="550"/>
      <c r="AA526" s="550"/>
      <c r="AB526" s="550"/>
      <c r="AC526" s="550"/>
      <c r="AD526" s="615"/>
      <c r="AE526" s="550"/>
      <c r="AF526" s="550"/>
      <c r="AG526" s="550"/>
      <c r="AH526" s="550"/>
      <c r="AN526" s="596"/>
      <c r="BM526" s="535"/>
      <c r="BN526" s="535"/>
      <c r="BO526" s="535"/>
      <c r="BP526" s="535"/>
      <c r="BQ526" s="535"/>
      <c r="BR526" s="535"/>
      <c r="BS526" s="535"/>
      <c r="BT526" s="535"/>
      <c r="BU526" s="535"/>
      <c r="BV526" s="535"/>
      <c r="BW526" s="535"/>
      <c r="BX526" s="535"/>
      <c r="BY526" s="535"/>
      <c r="BZ526" s="535"/>
      <c r="CA526" s="535"/>
      <c r="CB526" s="535"/>
      <c r="CC526" s="535"/>
    </row>
    <row r="527" spans="1:81" s="549" customFormat="1" ht="12.75" hidden="1" customHeight="1">
      <c r="A527" s="636"/>
      <c r="B527" s="549" t="s">
        <v>1553</v>
      </c>
      <c r="C527" s="550"/>
      <c r="E527" s="550"/>
      <c r="F527" s="550"/>
      <c r="G527" s="550"/>
      <c r="H527" s="550"/>
      <c r="I527" s="550"/>
      <c r="J527" s="550"/>
      <c r="K527" s="550"/>
      <c r="L527" s="550"/>
      <c r="M527" s="550"/>
      <c r="N527" s="550"/>
      <c r="O527" s="550"/>
      <c r="P527" s="550"/>
      <c r="Q527" s="550"/>
      <c r="R527" s="550"/>
      <c r="S527" s="550"/>
      <c r="T527" s="550"/>
      <c r="U527" s="550"/>
      <c r="V527" s="550"/>
      <c r="W527" s="550"/>
      <c r="X527" s="550"/>
      <c r="Y527" s="550"/>
      <c r="Z527" s="550"/>
      <c r="AA527" s="550"/>
      <c r="AB527" s="550"/>
      <c r="AC527" s="550"/>
      <c r="AD527" s="615"/>
      <c r="AE527" s="550"/>
      <c r="AF527" s="550"/>
      <c r="AG527" s="550"/>
      <c r="AH527" s="550"/>
      <c r="AN527" s="596"/>
      <c r="AP527" s="785"/>
      <c r="AQ527" s="785"/>
      <c r="AR527" s="785"/>
      <c r="AS527" s="785"/>
      <c r="AT527" s="785"/>
      <c r="AU527" s="785"/>
      <c r="AV527" s="785"/>
      <c r="AW527" s="785"/>
      <c r="AX527" s="785"/>
      <c r="AY527" s="785"/>
      <c r="BM527" s="535"/>
      <c r="BN527" s="535"/>
      <c r="BO527" s="535"/>
      <c r="BP527" s="535"/>
      <c r="BQ527" s="535"/>
      <c r="BR527" s="535"/>
      <c r="BS527" s="535"/>
      <c r="BT527" s="535"/>
      <c r="BU527" s="535"/>
      <c r="BV527" s="535"/>
      <c r="BW527" s="535"/>
      <c r="BX527" s="535"/>
      <c r="BY527" s="535"/>
      <c r="BZ527" s="535"/>
      <c r="CA527" s="535"/>
      <c r="CB527" s="535"/>
      <c r="CC527" s="535"/>
    </row>
    <row r="528" spans="1:81" s="549" customFormat="1" ht="12.75" hidden="1" customHeight="1">
      <c r="A528" s="636"/>
      <c r="B528" s="549" t="s">
        <v>1554</v>
      </c>
      <c r="C528" s="550"/>
      <c r="E528" s="550"/>
      <c r="F528" s="550"/>
      <c r="G528" s="550"/>
      <c r="H528" s="550"/>
      <c r="I528" s="550"/>
      <c r="J528" s="550"/>
      <c r="K528" s="550"/>
      <c r="L528" s="550"/>
      <c r="M528" s="550"/>
      <c r="N528" s="550"/>
      <c r="O528" s="550"/>
      <c r="P528" s="550"/>
      <c r="Q528" s="550"/>
      <c r="R528" s="550"/>
      <c r="S528" s="550"/>
      <c r="T528" s="550"/>
      <c r="U528" s="550"/>
      <c r="V528" s="550"/>
      <c r="W528" s="550"/>
      <c r="X528" s="550"/>
      <c r="Y528" s="550"/>
      <c r="Z528" s="550"/>
      <c r="AA528" s="550"/>
      <c r="AB528" s="550"/>
      <c r="AC528" s="550"/>
      <c r="AD528" s="615"/>
      <c r="AE528" s="550"/>
      <c r="AF528" s="550"/>
      <c r="AG528" s="550"/>
      <c r="AH528" s="550"/>
      <c r="AN528" s="596"/>
      <c r="AP528" s="802"/>
      <c r="AQ528" s="802"/>
      <c r="AR528" s="802"/>
      <c r="AS528" s="802"/>
      <c r="AT528" s="802"/>
      <c r="AU528" s="802"/>
      <c r="AV528" s="802"/>
      <c r="AW528" s="802"/>
      <c r="AX528" s="802"/>
      <c r="AY528" s="802"/>
      <c r="BM528" s="535"/>
      <c r="BN528" s="535"/>
      <c r="BO528" s="535"/>
      <c r="BP528" s="535"/>
      <c r="BQ528" s="535"/>
      <c r="BR528" s="535"/>
      <c r="BS528" s="535"/>
      <c r="BT528" s="535"/>
      <c r="BU528" s="535"/>
      <c r="BV528" s="535"/>
      <c r="BW528" s="535"/>
      <c r="BX528" s="535"/>
      <c r="BY528" s="535"/>
      <c r="BZ528" s="535"/>
      <c r="CA528" s="535"/>
      <c r="CB528" s="535"/>
      <c r="CC528" s="535"/>
    </row>
    <row r="529" spans="1:81" s="549" customFormat="1" ht="12.75" hidden="1" customHeight="1">
      <c r="A529" s="636"/>
      <c r="B529" s="549" t="s">
        <v>2030</v>
      </c>
      <c r="C529" s="550"/>
      <c r="E529" s="550"/>
      <c r="F529" s="550"/>
      <c r="G529" s="550"/>
      <c r="H529" s="550"/>
      <c r="I529" s="550"/>
      <c r="J529" s="550"/>
      <c r="K529" s="550"/>
      <c r="L529" s="550"/>
      <c r="M529" s="550"/>
      <c r="N529" s="550"/>
      <c r="O529" s="550"/>
      <c r="P529" s="550"/>
      <c r="Q529" s="550"/>
      <c r="R529" s="550"/>
      <c r="S529" s="550"/>
      <c r="T529" s="550"/>
      <c r="U529" s="550"/>
      <c r="V529" s="550"/>
      <c r="W529" s="550"/>
      <c r="X529" s="550"/>
      <c r="Y529" s="550"/>
      <c r="Z529" s="550"/>
      <c r="AA529" s="550"/>
      <c r="AB529" s="550"/>
      <c r="AC529" s="550"/>
      <c r="AD529" s="615"/>
      <c r="AE529" s="550"/>
      <c r="AF529" s="550"/>
      <c r="AG529" s="550"/>
      <c r="AH529" s="550"/>
      <c r="AN529" s="596"/>
      <c r="AP529" s="802"/>
      <c r="AQ529" s="802"/>
      <c r="AR529" s="802"/>
      <c r="AS529" s="802"/>
      <c r="AT529" s="802"/>
      <c r="AU529" s="802"/>
      <c r="AV529" s="802"/>
      <c r="AW529" s="802"/>
      <c r="AX529" s="802"/>
      <c r="AY529" s="802"/>
      <c r="BM529" s="535"/>
      <c r="BN529" s="535"/>
      <c r="BO529" s="535"/>
      <c r="BP529" s="535"/>
      <c r="BQ529" s="535"/>
      <c r="BR529" s="535"/>
      <c r="BS529" s="535"/>
      <c r="BT529" s="535"/>
      <c r="BU529" s="535"/>
      <c r="BV529" s="535"/>
      <c r="BW529" s="535"/>
      <c r="BX529" s="535"/>
      <c r="BY529" s="535"/>
      <c r="BZ529" s="535"/>
      <c r="CA529" s="535"/>
      <c r="CB529" s="535"/>
      <c r="CC529" s="535"/>
    </row>
    <row r="530" spans="1:81" s="549" customFormat="1" ht="12.75" hidden="1" customHeight="1">
      <c r="A530" s="636"/>
      <c r="B530" s="549" t="s">
        <v>1555</v>
      </c>
      <c r="C530" s="550"/>
      <c r="E530" s="550"/>
      <c r="F530" s="550"/>
      <c r="G530" s="550"/>
      <c r="H530" s="550"/>
      <c r="I530" s="550"/>
      <c r="J530" s="550"/>
      <c r="K530" s="550"/>
      <c r="L530" s="550"/>
      <c r="M530" s="550"/>
      <c r="N530" s="550"/>
      <c r="O530" s="550"/>
      <c r="P530" s="550"/>
      <c r="Q530" s="550"/>
      <c r="R530" s="550"/>
      <c r="S530" s="550"/>
      <c r="T530" s="550"/>
      <c r="U530" s="550"/>
      <c r="V530" s="550"/>
      <c r="W530" s="550"/>
      <c r="X530" s="550"/>
      <c r="Y530" s="550"/>
      <c r="Z530" s="550"/>
      <c r="AA530" s="550"/>
      <c r="AB530" s="550"/>
      <c r="AC530" s="550"/>
      <c r="AD530" s="615"/>
      <c r="AE530" s="550"/>
      <c r="AF530" s="550"/>
      <c r="AG530" s="550"/>
      <c r="AH530" s="550"/>
      <c r="AN530" s="596"/>
      <c r="AP530" s="802"/>
      <c r="AQ530" s="802"/>
      <c r="AR530" s="802"/>
      <c r="AS530" s="802"/>
      <c r="AT530" s="802"/>
      <c r="AU530" s="802"/>
      <c r="AV530" s="802"/>
      <c r="AW530" s="802"/>
      <c r="AX530" s="802"/>
      <c r="AY530" s="802"/>
      <c r="BM530" s="535"/>
      <c r="BN530" s="535"/>
      <c r="BO530" s="535"/>
      <c r="BP530" s="535"/>
      <c r="BQ530" s="535"/>
      <c r="BR530" s="535"/>
      <c r="BS530" s="535"/>
      <c r="BT530" s="535"/>
      <c r="BU530" s="535"/>
      <c r="BV530" s="535"/>
      <c r="BW530" s="535"/>
      <c r="BX530" s="535"/>
      <c r="BY530" s="535"/>
      <c r="BZ530" s="535"/>
      <c r="CA530" s="535"/>
      <c r="CB530" s="535"/>
      <c r="CC530" s="535"/>
    </row>
    <row r="531" spans="1:81" s="549" customFormat="1" ht="12.75" hidden="1" customHeight="1">
      <c r="A531" s="636"/>
      <c r="B531" s="549" t="s">
        <v>2031</v>
      </c>
      <c r="C531" s="550"/>
      <c r="E531" s="550"/>
      <c r="F531" s="550"/>
      <c r="G531" s="550"/>
      <c r="H531" s="550"/>
      <c r="I531" s="550"/>
      <c r="J531" s="550"/>
      <c r="K531" s="550"/>
      <c r="L531" s="550"/>
      <c r="M531" s="550"/>
      <c r="N531" s="550"/>
      <c r="O531" s="550"/>
      <c r="P531" s="550"/>
      <c r="Q531" s="550"/>
      <c r="R531" s="550"/>
      <c r="S531" s="550"/>
      <c r="T531" s="550"/>
      <c r="U531" s="550"/>
      <c r="V531" s="550"/>
      <c r="W531" s="550"/>
      <c r="X531" s="550"/>
      <c r="Y531" s="550"/>
      <c r="Z531" s="550"/>
      <c r="AA531" s="550"/>
      <c r="AB531" s="550"/>
      <c r="AC531" s="550"/>
      <c r="AD531" s="615"/>
      <c r="AE531" s="550"/>
      <c r="AF531" s="550"/>
      <c r="AG531" s="550"/>
      <c r="AH531" s="550"/>
      <c r="AN531" s="596"/>
      <c r="AP531" s="802"/>
      <c r="AQ531" s="802"/>
      <c r="AR531" s="802"/>
      <c r="AS531" s="802"/>
      <c r="AT531" s="802"/>
      <c r="AU531" s="802"/>
      <c r="AV531" s="802"/>
      <c r="AW531" s="802"/>
      <c r="AX531" s="802"/>
      <c r="AY531" s="802"/>
      <c r="BM531" s="535"/>
      <c r="BN531" s="535"/>
      <c r="BO531" s="535"/>
      <c r="BP531" s="535"/>
      <c r="BQ531" s="535"/>
      <c r="BR531" s="535"/>
      <c r="BS531" s="535"/>
      <c r="BT531" s="535"/>
      <c r="BU531" s="535"/>
      <c r="BV531" s="535"/>
      <c r="BW531" s="535"/>
      <c r="BX531" s="535"/>
      <c r="BY531" s="535"/>
      <c r="BZ531" s="535"/>
      <c r="CA531" s="535"/>
      <c r="CB531" s="535"/>
      <c r="CC531" s="535"/>
    </row>
    <row r="532" spans="1:81" s="549" customFormat="1" ht="12.75" hidden="1" customHeight="1">
      <c r="A532" s="636"/>
      <c r="B532" s="549" t="s">
        <v>1556</v>
      </c>
      <c r="C532" s="550"/>
      <c r="E532" s="550"/>
      <c r="F532" s="550"/>
      <c r="G532" s="550"/>
      <c r="H532" s="550"/>
      <c r="I532" s="550"/>
      <c r="J532" s="550"/>
      <c r="K532" s="550"/>
      <c r="L532" s="550"/>
      <c r="M532" s="550"/>
      <c r="N532" s="550"/>
      <c r="O532" s="550"/>
      <c r="P532" s="550"/>
      <c r="Q532" s="550"/>
      <c r="R532" s="550"/>
      <c r="S532" s="550"/>
      <c r="T532" s="550"/>
      <c r="U532" s="550"/>
      <c r="V532" s="550"/>
      <c r="W532" s="550"/>
      <c r="X532" s="550"/>
      <c r="Y532" s="550"/>
      <c r="Z532" s="550"/>
      <c r="AA532" s="550"/>
      <c r="AB532" s="550"/>
      <c r="AC532" s="550"/>
      <c r="AD532" s="615"/>
      <c r="AE532" s="550"/>
      <c r="AF532" s="550"/>
      <c r="AG532" s="550"/>
      <c r="AH532" s="550"/>
      <c r="AN532" s="596"/>
      <c r="AP532" s="802"/>
      <c r="AQ532" s="802"/>
      <c r="AR532" s="802"/>
      <c r="AS532" s="802"/>
      <c r="AT532" s="802"/>
      <c r="AU532" s="802"/>
      <c r="AV532" s="802"/>
      <c r="AW532" s="802"/>
      <c r="AX532" s="802"/>
      <c r="AY532" s="802"/>
      <c r="BM532" s="535"/>
      <c r="BN532" s="535"/>
      <c r="BO532" s="535"/>
      <c r="BP532" s="535"/>
      <c r="BQ532" s="535"/>
      <c r="BR532" s="535"/>
      <c r="BS532" s="535"/>
      <c r="BT532" s="535"/>
      <c r="BU532" s="535"/>
      <c r="BV532" s="535"/>
      <c r="BW532" s="535"/>
      <c r="BX532" s="535"/>
      <c r="BY532" s="535"/>
      <c r="BZ532" s="535"/>
      <c r="CA532" s="535"/>
      <c r="CB532" s="535"/>
      <c r="CC532" s="535"/>
    </row>
    <row r="533" spans="1:81" s="549" customFormat="1" ht="12.75" hidden="1" customHeight="1">
      <c r="A533" s="636"/>
      <c r="B533" s="549" t="s">
        <v>1557</v>
      </c>
      <c r="C533" s="550"/>
      <c r="E533" s="550"/>
      <c r="F533" s="550"/>
      <c r="G533" s="550"/>
      <c r="H533" s="550"/>
      <c r="I533" s="550"/>
      <c r="J533" s="550"/>
      <c r="K533" s="550"/>
      <c r="L533" s="550"/>
      <c r="M533" s="550"/>
      <c r="N533" s="550"/>
      <c r="O533" s="550"/>
      <c r="P533" s="550"/>
      <c r="Q533" s="550"/>
      <c r="R533" s="550"/>
      <c r="S533" s="550"/>
      <c r="T533" s="550"/>
      <c r="U533" s="550"/>
      <c r="V533" s="550"/>
      <c r="W533" s="550"/>
      <c r="X533" s="550"/>
      <c r="Y533" s="550"/>
      <c r="Z533" s="550"/>
      <c r="AA533" s="550"/>
      <c r="AB533" s="550"/>
      <c r="AC533" s="550"/>
      <c r="AD533" s="615"/>
      <c r="AE533" s="550"/>
      <c r="AF533" s="550"/>
      <c r="AG533" s="550"/>
      <c r="AH533" s="550"/>
      <c r="AN533" s="596"/>
    </row>
    <row r="534" spans="1:81" s="549" customFormat="1" ht="12.75" hidden="1" customHeight="1">
      <c r="A534" s="803"/>
      <c r="C534" s="550"/>
      <c r="E534" s="550"/>
      <c r="F534" s="550"/>
      <c r="G534" s="550"/>
      <c r="H534" s="550"/>
      <c r="I534" s="550"/>
      <c r="J534" s="550"/>
      <c r="K534" s="550"/>
      <c r="L534" s="550"/>
      <c r="M534" s="550"/>
      <c r="N534" s="550"/>
      <c r="O534" s="550"/>
      <c r="P534" s="550"/>
      <c r="Q534" s="550"/>
      <c r="R534" s="550"/>
      <c r="S534" s="550"/>
      <c r="T534" s="550"/>
      <c r="U534" s="550"/>
      <c r="V534" s="550"/>
      <c r="W534" s="550"/>
      <c r="X534" s="550"/>
      <c r="Y534" s="550"/>
      <c r="Z534" s="550"/>
      <c r="AA534" s="550"/>
      <c r="AB534" s="550"/>
      <c r="AC534" s="550"/>
      <c r="AD534" s="615"/>
      <c r="AE534" s="550"/>
      <c r="AF534" s="550"/>
      <c r="AG534" s="550"/>
      <c r="AH534" s="550"/>
      <c r="AN534" s="596"/>
    </row>
    <row r="535" spans="1:81" s="549" customFormat="1" ht="12.75" hidden="1" customHeight="1">
      <c r="A535" s="605"/>
      <c r="B535" s="663"/>
      <c r="C535" s="663"/>
      <c r="D535" s="663"/>
      <c r="E535" s="663"/>
      <c r="F535" s="663"/>
      <c r="G535" s="663"/>
      <c r="H535" s="663"/>
      <c r="I535" s="663"/>
      <c r="J535" s="663"/>
      <c r="K535" s="663"/>
      <c r="L535" s="663"/>
      <c r="M535" s="663"/>
      <c r="N535" s="663"/>
      <c r="O535" s="663"/>
      <c r="P535" s="663"/>
      <c r="Q535" s="663"/>
      <c r="R535" s="663"/>
      <c r="S535" s="663"/>
      <c r="T535" s="663"/>
      <c r="U535" s="663"/>
      <c r="V535" s="663"/>
      <c r="W535" s="663"/>
      <c r="X535" s="663"/>
      <c r="Y535" s="663"/>
      <c r="Z535" s="663"/>
      <c r="AA535" s="663"/>
      <c r="AB535" s="663"/>
      <c r="AC535" s="664"/>
      <c r="AD535" s="663"/>
      <c r="AE535" s="663"/>
      <c r="AF535" s="663"/>
      <c r="AG535" s="663"/>
      <c r="AH535" s="563"/>
      <c r="AI535" s="564"/>
      <c r="AJ535" s="564" t="s">
        <v>1558</v>
      </c>
      <c r="AK535" s="2489">
        <f>SUM(AG479:AG524)</f>
        <v>0</v>
      </c>
      <c r="AL535" s="2490"/>
      <c r="AM535" s="2491"/>
      <c r="AN535" s="596"/>
      <c r="AP535" s="535"/>
      <c r="AQ535" s="535"/>
      <c r="AR535" s="535"/>
      <c r="AS535" s="535"/>
      <c r="AT535" s="535"/>
      <c r="AU535" s="535"/>
      <c r="AV535" s="535"/>
      <c r="AW535" s="535"/>
      <c r="AX535" s="535"/>
      <c r="AY535" s="535"/>
      <c r="AZ535" s="535"/>
    </row>
    <row r="536" spans="1:81" s="549" customFormat="1" ht="12.75" hidden="1" customHeight="1">
      <c r="B536" s="550"/>
      <c r="C536" s="550"/>
      <c r="D536" s="550"/>
      <c r="E536" s="550"/>
      <c r="F536" s="550"/>
      <c r="G536" s="550"/>
      <c r="H536" s="550"/>
      <c r="I536" s="550"/>
      <c r="J536" s="550"/>
      <c r="K536" s="550"/>
      <c r="L536" s="550"/>
      <c r="M536" s="550"/>
      <c r="N536" s="550"/>
      <c r="O536" s="550"/>
      <c r="P536" s="550"/>
      <c r="Q536" s="550"/>
      <c r="R536" s="550"/>
      <c r="S536" s="550"/>
      <c r="T536" s="550"/>
      <c r="U536" s="550"/>
      <c r="V536" s="550"/>
      <c r="W536" s="550"/>
      <c r="X536" s="550"/>
      <c r="Y536" s="550"/>
      <c r="Z536" s="550"/>
      <c r="AA536" s="550"/>
      <c r="AB536" s="550"/>
      <c r="AC536" s="615"/>
      <c r="AD536" s="550"/>
      <c r="AE536" s="550"/>
      <c r="AF536" s="550"/>
      <c r="AG536" s="550"/>
      <c r="AI536" s="542"/>
      <c r="AJ536" s="542"/>
      <c r="AK536" s="594"/>
      <c r="AL536" s="594"/>
      <c r="AM536" s="594"/>
      <c r="AN536" s="596"/>
      <c r="AP536" s="535"/>
      <c r="AQ536" s="535"/>
      <c r="AR536" s="535"/>
      <c r="AS536" s="535"/>
      <c r="AT536" s="535"/>
      <c r="AU536" s="535"/>
      <c r="AV536" s="535"/>
      <c r="AW536" s="535"/>
      <c r="AX536" s="535"/>
      <c r="AY536" s="535"/>
      <c r="AZ536" s="535"/>
    </row>
    <row r="537" spans="1:81" ht="13.5" thickTop="1"/>
    <row r="538" spans="1:81" s="549" customFormat="1" ht="12.75" customHeight="1">
      <c r="A538" s="538" t="s">
        <v>1559</v>
      </c>
      <c r="B538" s="538" t="s">
        <v>1560</v>
      </c>
      <c r="C538" s="550"/>
      <c r="D538" s="550"/>
      <c r="E538" s="550"/>
      <c r="F538" s="550"/>
      <c r="G538" s="550"/>
      <c r="H538" s="550"/>
      <c r="I538" s="550"/>
      <c r="J538" s="550"/>
      <c r="K538" s="550"/>
      <c r="L538" s="550"/>
      <c r="M538" s="550"/>
      <c r="N538" s="550"/>
      <c r="O538" s="550"/>
      <c r="P538" s="550"/>
      <c r="Q538" s="550"/>
      <c r="R538" s="550"/>
      <c r="S538" s="550"/>
      <c r="T538" s="550"/>
      <c r="U538" s="550"/>
      <c r="V538" s="550"/>
      <c r="W538" s="550"/>
      <c r="X538" s="550"/>
      <c r="Y538" s="550"/>
      <c r="Z538" s="550"/>
      <c r="AA538" s="550"/>
      <c r="AB538" s="550"/>
      <c r="AC538" s="615"/>
      <c r="AD538" s="550"/>
      <c r="AE538" s="2419" t="s">
        <v>1561</v>
      </c>
      <c r="AF538" s="2419"/>
      <c r="AG538" s="2419"/>
      <c r="AH538" s="2419"/>
      <c r="AI538" s="2419"/>
      <c r="AJ538" s="2419"/>
      <c r="AK538" s="2419"/>
      <c r="AL538" s="594"/>
      <c r="AM538" s="594"/>
      <c r="AN538" s="596"/>
    </row>
    <row r="539" spans="1:81" s="549" customFormat="1" ht="12.75" customHeight="1">
      <c r="A539" s="538"/>
      <c r="B539" s="538" t="s">
        <v>1325</v>
      </c>
      <c r="C539" s="550"/>
      <c r="D539" s="550"/>
      <c r="E539" s="550"/>
      <c r="F539" s="550"/>
      <c r="G539" s="550"/>
      <c r="H539" s="550"/>
      <c r="I539" s="550"/>
      <c r="J539" s="550"/>
      <c r="K539" s="550"/>
      <c r="L539" s="550"/>
      <c r="M539" s="550"/>
      <c r="N539" s="550"/>
      <c r="O539" s="550"/>
      <c r="P539" s="550"/>
      <c r="Q539" s="550"/>
      <c r="R539" s="550"/>
      <c r="S539" s="550"/>
      <c r="T539" s="550"/>
      <c r="U539" s="550"/>
      <c r="V539" s="550"/>
      <c r="W539" s="550"/>
      <c r="X539" s="550"/>
      <c r="Y539" s="550"/>
      <c r="Z539" s="550"/>
      <c r="AA539" s="550"/>
      <c r="AB539" s="550"/>
      <c r="AC539" s="615"/>
      <c r="AD539" s="550"/>
      <c r="AE539" s="542"/>
      <c r="AF539" s="542"/>
      <c r="AG539" s="542"/>
      <c r="AH539" s="542"/>
      <c r="AI539" s="542"/>
      <c r="AJ539" s="542"/>
      <c r="AK539" s="542"/>
      <c r="AL539" s="594"/>
      <c r="AM539" s="594"/>
      <c r="AN539" s="596"/>
    </row>
    <row r="540" spans="1:81" s="549" customFormat="1" ht="12.75" customHeight="1">
      <c r="A540" s="538"/>
      <c r="B540" s="538"/>
      <c r="C540" s="550"/>
      <c r="D540" s="550"/>
      <c r="E540" s="550"/>
      <c r="F540" s="550"/>
      <c r="G540" s="550"/>
      <c r="H540" s="550"/>
      <c r="I540" s="550"/>
      <c r="J540" s="550"/>
      <c r="K540" s="550"/>
      <c r="L540" s="550"/>
      <c r="M540" s="550"/>
      <c r="N540" s="550"/>
      <c r="O540" s="550"/>
      <c r="P540" s="550"/>
      <c r="Q540" s="550"/>
      <c r="R540" s="550"/>
      <c r="S540" s="550"/>
      <c r="T540" s="550"/>
      <c r="U540" s="550"/>
      <c r="V540" s="550"/>
      <c r="W540" s="550"/>
      <c r="X540" s="550"/>
      <c r="Y540" s="550"/>
      <c r="Z540" s="550"/>
      <c r="AA540" s="550"/>
      <c r="AB540" s="550"/>
      <c r="AC540" s="615"/>
      <c r="AD540" s="550"/>
      <c r="AE540" s="542"/>
      <c r="AF540" s="542"/>
      <c r="AG540" s="542"/>
      <c r="AH540" s="542"/>
      <c r="AI540" s="542"/>
      <c r="AJ540" s="542"/>
      <c r="AK540" s="542"/>
      <c r="AL540" s="594"/>
      <c r="AM540" s="594"/>
      <c r="AN540" s="596"/>
    </row>
    <row r="541" spans="1:81" s="549" customFormat="1" ht="12.75" customHeight="1">
      <c r="A541" s="538"/>
      <c r="B541" s="538"/>
      <c r="C541" s="2486" t="s">
        <v>546</v>
      </c>
      <c r="D541" s="2486"/>
      <c r="E541" s="550"/>
      <c r="F541" s="2613" t="s">
        <v>1562</v>
      </c>
      <c r="G541" s="2614"/>
      <c r="H541" s="2614"/>
      <c r="I541" s="2614"/>
      <c r="J541" s="2614"/>
      <c r="K541" s="2614"/>
      <c r="L541" s="2614"/>
      <c r="M541" s="2614"/>
      <c r="N541" s="2614"/>
      <c r="O541" s="2614"/>
      <c r="P541" s="2614"/>
      <c r="Q541" s="2614"/>
      <c r="R541" s="2614"/>
      <c r="S541" s="2614"/>
      <c r="T541" s="2614"/>
      <c r="U541" s="2614"/>
      <c r="V541" s="2614"/>
      <c r="W541" s="2614"/>
      <c r="X541" s="2614"/>
      <c r="Y541" s="2614"/>
      <c r="Z541" s="2614"/>
      <c r="AA541" s="2614"/>
      <c r="AB541" s="2614"/>
      <c r="AC541" s="2614"/>
      <c r="AD541" s="2614"/>
      <c r="AE541" s="2614"/>
      <c r="AF541" s="2614"/>
      <c r="AG541" s="2614"/>
      <c r="AH541" s="2614"/>
      <c r="AI541" s="2614"/>
      <c r="AJ541" s="2614"/>
      <c r="AK541" s="2614"/>
      <c r="AL541" s="2615"/>
      <c r="AM541" s="594"/>
      <c r="AN541" s="596"/>
    </row>
    <row r="542" spans="1:81" s="549" customFormat="1" ht="12.75" customHeight="1">
      <c r="A542" s="538"/>
      <c r="B542" s="538"/>
      <c r="C542" s="550"/>
      <c r="D542" s="550"/>
      <c r="E542" s="550"/>
      <c r="F542" s="2616"/>
      <c r="G542" s="2617"/>
      <c r="H542" s="2617"/>
      <c r="I542" s="2617"/>
      <c r="J542" s="2617"/>
      <c r="K542" s="2617"/>
      <c r="L542" s="2617"/>
      <c r="M542" s="2617"/>
      <c r="N542" s="2617"/>
      <c r="O542" s="2617"/>
      <c r="P542" s="2617"/>
      <c r="Q542" s="2617"/>
      <c r="R542" s="2617"/>
      <c r="S542" s="2617"/>
      <c r="T542" s="2617"/>
      <c r="U542" s="2617"/>
      <c r="V542" s="2617"/>
      <c r="W542" s="2617"/>
      <c r="X542" s="2617"/>
      <c r="Y542" s="2617"/>
      <c r="Z542" s="2617"/>
      <c r="AA542" s="2617"/>
      <c r="AB542" s="2617"/>
      <c r="AC542" s="2617"/>
      <c r="AD542" s="2617"/>
      <c r="AE542" s="2617"/>
      <c r="AF542" s="2617"/>
      <c r="AG542" s="2617"/>
      <c r="AH542" s="2617"/>
      <c r="AI542" s="2617"/>
      <c r="AJ542" s="2617"/>
      <c r="AK542" s="2617"/>
      <c r="AL542" s="2618"/>
      <c r="AM542" s="594"/>
      <c r="AN542" s="596"/>
    </row>
    <row r="543" spans="1:81" s="549" customFormat="1" ht="12.75" customHeight="1">
      <c r="A543" s="538"/>
      <c r="B543" s="538"/>
      <c r="C543" s="550"/>
      <c r="D543" s="550"/>
      <c r="E543" s="550"/>
      <c r="F543" s="804"/>
      <c r="G543" s="804"/>
      <c r="H543" s="804"/>
      <c r="I543" s="804"/>
      <c r="J543" s="804"/>
      <c r="K543" s="804"/>
      <c r="L543" s="804"/>
      <c r="M543" s="804"/>
      <c r="N543" s="804"/>
      <c r="O543" s="804"/>
      <c r="P543" s="804"/>
      <c r="Q543" s="804"/>
      <c r="R543" s="804"/>
      <c r="S543" s="804"/>
      <c r="T543" s="804"/>
      <c r="U543" s="804"/>
      <c r="V543" s="804"/>
      <c r="W543" s="804"/>
      <c r="X543" s="804"/>
      <c r="Y543" s="804"/>
      <c r="Z543" s="804"/>
      <c r="AA543" s="804"/>
      <c r="AB543" s="804"/>
      <c r="AC543" s="804"/>
      <c r="AD543" s="804"/>
      <c r="AE543" s="804"/>
      <c r="AF543" s="804"/>
      <c r="AG543" s="804"/>
      <c r="AH543" s="804"/>
      <c r="AI543" s="804"/>
      <c r="AJ543" s="804"/>
      <c r="AK543" s="804"/>
      <c r="AL543" s="804"/>
      <c r="AM543" s="594"/>
      <c r="AN543" s="596"/>
    </row>
    <row r="544" spans="1:81" s="549" customFormat="1" ht="12.75" customHeight="1">
      <c r="A544" s="538"/>
      <c r="B544" s="805"/>
      <c r="C544" s="2486" t="s">
        <v>592</v>
      </c>
      <c r="D544" s="2486"/>
      <c r="E544" s="805"/>
      <c r="F544" s="643" t="s">
        <v>1563</v>
      </c>
      <c r="G544" s="806"/>
      <c r="H544" s="807"/>
      <c r="I544" s="807"/>
      <c r="J544" s="807"/>
      <c r="K544" s="807"/>
      <c r="L544" s="807"/>
      <c r="M544" s="807"/>
      <c r="N544" s="807"/>
      <c r="O544" s="807"/>
      <c r="P544" s="807"/>
      <c r="Q544" s="807"/>
      <c r="R544" s="807"/>
      <c r="S544" s="807"/>
      <c r="T544" s="807"/>
      <c r="U544" s="807"/>
      <c r="V544" s="807"/>
      <c r="W544" s="807"/>
      <c r="X544" s="807"/>
      <c r="Y544" s="807"/>
      <c r="Z544" s="807"/>
      <c r="AA544" s="807"/>
      <c r="AB544" s="807"/>
      <c r="AC544" s="807"/>
      <c r="AD544" s="807"/>
      <c r="AE544" s="807"/>
      <c r="AF544" s="807"/>
      <c r="AG544" s="807"/>
      <c r="AH544" s="807"/>
      <c r="AI544" s="807"/>
      <c r="AJ544" s="807"/>
      <c r="AK544" s="808"/>
      <c r="AL544" s="809"/>
      <c r="AM544" s="594"/>
      <c r="AN544" s="596"/>
    </row>
    <row r="545" spans="1:49" s="549" customFormat="1" ht="12.75" customHeight="1">
      <c r="B545" s="805"/>
      <c r="C545" s="805"/>
      <c r="D545" s="805"/>
      <c r="E545" s="805"/>
      <c r="F545" s="2508" t="s">
        <v>1564</v>
      </c>
      <c r="G545" s="2509"/>
      <c r="H545" s="2509"/>
      <c r="I545" s="2509"/>
      <c r="J545" s="2509"/>
      <c r="K545" s="2509"/>
      <c r="L545" s="2509"/>
      <c r="M545" s="2509"/>
      <c r="N545" s="2509"/>
      <c r="O545" s="2509"/>
      <c r="P545" s="2509"/>
      <c r="Q545" s="2509"/>
      <c r="R545" s="2509"/>
      <c r="S545" s="2509"/>
      <c r="T545" s="2509"/>
      <c r="U545" s="2509"/>
      <c r="V545" s="2509"/>
      <c r="W545" s="2509"/>
      <c r="X545" s="2509"/>
      <c r="Y545" s="2509"/>
      <c r="Z545" s="2509"/>
      <c r="AA545" s="2509"/>
      <c r="AB545" s="2509"/>
      <c r="AC545" s="2509"/>
      <c r="AD545" s="2509"/>
      <c r="AE545" s="2509"/>
      <c r="AF545" s="2509"/>
      <c r="AG545" s="2509"/>
      <c r="AH545" s="2509"/>
      <c r="AI545" s="2509"/>
      <c r="AJ545" s="2509"/>
      <c r="AK545" s="2509"/>
      <c r="AL545" s="2510"/>
      <c r="AM545" s="594"/>
      <c r="AN545" s="596"/>
      <c r="AS545" s="869"/>
      <c r="AT545" s="869"/>
      <c r="AU545" s="869"/>
      <c r="AV545" s="869"/>
      <c r="AW545" s="869"/>
    </row>
    <row r="546" spans="1:49" s="549" customFormat="1" ht="12.75" customHeight="1">
      <c r="B546" s="805"/>
      <c r="C546" s="805"/>
      <c r="D546" s="805"/>
      <c r="E546" s="805"/>
      <c r="F546" s="2508"/>
      <c r="G546" s="2509"/>
      <c r="H546" s="2509"/>
      <c r="I546" s="2509"/>
      <c r="J546" s="2509"/>
      <c r="K546" s="2509"/>
      <c r="L546" s="2509"/>
      <c r="M546" s="2509"/>
      <c r="N546" s="2509"/>
      <c r="O546" s="2509"/>
      <c r="P546" s="2509"/>
      <c r="Q546" s="2509"/>
      <c r="R546" s="2509"/>
      <c r="S546" s="2509"/>
      <c r="T546" s="2509"/>
      <c r="U546" s="2509"/>
      <c r="V546" s="2509"/>
      <c r="W546" s="2509"/>
      <c r="X546" s="2509"/>
      <c r="Y546" s="2509"/>
      <c r="Z546" s="2509"/>
      <c r="AA546" s="2509"/>
      <c r="AB546" s="2509"/>
      <c r="AC546" s="2509"/>
      <c r="AD546" s="2509"/>
      <c r="AE546" s="2509"/>
      <c r="AF546" s="2509"/>
      <c r="AG546" s="2509"/>
      <c r="AH546" s="2509"/>
      <c r="AI546" s="2509"/>
      <c r="AJ546" s="2509"/>
      <c r="AK546" s="2509"/>
      <c r="AL546" s="2510"/>
      <c r="AM546" s="594"/>
      <c r="AN546" s="596"/>
    </row>
    <row r="547" spans="1:49" s="549" customFormat="1" ht="12.75" customHeight="1">
      <c r="B547" s="805"/>
      <c r="C547" s="805"/>
      <c r="D547" s="805"/>
      <c r="E547" s="805"/>
      <c r="F547" s="810" t="s">
        <v>2032</v>
      </c>
      <c r="G547" s="615"/>
      <c r="H547" s="615"/>
      <c r="I547" s="615"/>
      <c r="J547" s="615"/>
      <c r="K547" s="615"/>
      <c r="L547" s="615"/>
      <c r="M547" s="615"/>
      <c r="N547" s="615"/>
      <c r="O547" s="615"/>
      <c r="P547" s="615"/>
      <c r="Q547" s="615"/>
      <c r="R547" s="615"/>
      <c r="S547" s="615"/>
      <c r="T547" s="615"/>
      <c r="U547" s="615"/>
      <c r="V547" s="615"/>
      <c r="W547" s="615"/>
      <c r="X547" s="615"/>
      <c r="Y547" s="615"/>
      <c r="Z547" s="615"/>
      <c r="AA547" s="615"/>
      <c r="AB547" s="615"/>
      <c r="AC547" s="615"/>
      <c r="AD547" s="615"/>
      <c r="AE547" s="615"/>
      <c r="AF547" s="615"/>
      <c r="AG547" s="615"/>
      <c r="AH547" s="615"/>
      <c r="AI547" s="615"/>
      <c r="AJ547" s="615"/>
      <c r="AK547" s="615"/>
      <c r="AL547" s="811"/>
      <c r="AM547" s="594"/>
      <c r="AN547" s="596"/>
    </row>
    <row r="548" spans="1:49" s="549" customFormat="1" ht="12.75" customHeight="1">
      <c r="B548" s="805"/>
      <c r="C548" s="805"/>
      <c r="D548" s="805"/>
      <c r="E548" s="805"/>
      <c r="F548" s="2508" t="s">
        <v>1565</v>
      </c>
      <c r="G548" s="2509"/>
      <c r="H548" s="2509"/>
      <c r="I548" s="2509"/>
      <c r="J548" s="2509"/>
      <c r="K548" s="2509"/>
      <c r="L548" s="2509"/>
      <c r="M548" s="2509"/>
      <c r="N548" s="2509"/>
      <c r="O548" s="2509"/>
      <c r="P548" s="2509"/>
      <c r="Q548" s="2509"/>
      <c r="R548" s="2509"/>
      <c r="S548" s="2509"/>
      <c r="T548" s="2509"/>
      <c r="U548" s="2509"/>
      <c r="V548" s="2509"/>
      <c r="W548" s="2509"/>
      <c r="X548" s="2509"/>
      <c r="Y548" s="2509"/>
      <c r="Z548" s="2509"/>
      <c r="AA548" s="2509"/>
      <c r="AB548" s="2509"/>
      <c r="AC548" s="2509"/>
      <c r="AD548" s="2509"/>
      <c r="AE548" s="2509"/>
      <c r="AF548" s="2509"/>
      <c r="AG548" s="2509"/>
      <c r="AH548" s="2509"/>
      <c r="AI548" s="2509"/>
      <c r="AJ548" s="2509"/>
      <c r="AK548" s="2509"/>
      <c r="AL548" s="812"/>
      <c r="AM548" s="594"/>
      <c r="AN548" s="596"/>
    </row>
    <row r="549" spans="1:49" s="549" customFormat="1" ht="12.75" customHeight="1">
      <c r="B549" s="805"/>
      <c r="C549" s="805"/>
      <c r="D549" s="805"/>
      <c r="E549" s="805"/>
      <c r="F549" s="2511"/>
      <c r="G549" s="2512"/>
      <c r="H549" s="2512"/>
      <c r="I549" s="2512"/>
      <c r="J549" s="2512"/>
      <c r="K549" s="2512"/>
      <c r="L549" s="2512"/>
      <c r="M549" s="2512"/>
      <c r="N549" s="2512"/>
      <c r="O549" s="2512"/>
      <c r="P549" s="2512"/>
      <c r="Q549" s="2512"/>
      <c r="R549" s="2512"/>
      <c r="S549" s="2512"/>
      <c r="T549" s="2512"/>
      <c r="U549" s="2512"/>
      <c r="V549" s="2512"/>
      <c r="W549" s="2512"/>
      <c r="X549" s="2512"/>
      <c r="Y549" s="2512"/>
      <c r="Z549" s="2512"/>
      <c r="AA549" s="2512"/>
      <c r="AB549" s="2512"/>
      <c r="AC549" s="2512"/>
      <c r="AD549" s="2512"/>
      <c r="AE549" s="2512"/>
      <c r="AF549" s="2512"/>
      <c r="AG549" s="2512"/>
      <c r="AH549" s="2512"/>
      <c r="AI549" s="2512"/>
      <c r="AJ549" s="2512"/>
      <c r="AK549" s="2512"/>
      <c r="AL549" s="813"/>
      <c r="AM549" s="594"/>
      <c r="AN549" s="596"/>
    </row>
    <row r="550" spans="1:49" s="549" customFormat="1" ht="12.75" customHeight="1">
      <c r="B550" s="805"/>
      <c r="C550" s="805"/>
      <c r="D550" s="805"/>
      <c r="E550" s="805"/>
      <c r="F550" s="641"/>
      <c r="G550" s="641"/>
      <c r="H550" s="641"/>
      <c r="I550" s="641"/>
      <c r="J550" s="641"/>
      <c r="K550" s="641"/>
      <c r="L550" s="641"/>
      <c r="M550" s="641"/>
      <c r="N550" s="641"/>
      <c r="O550" s="641"/>
      <c r="P550" s="641"/>
      <c r="Q550" s="641"/>
      <c r="R550" s="641"/>
      <c r="S550" s="641"/>
      <c r="T550" s="641"/>
      <c r="U550" s="641"/>
      <c r="V550" s="641"/>
      <c r="W550" s="641"/>
      <c r="X550" s="641"/>
      <c r="Y550" s="641"/>
      <c r="Z550" s="641"/>
      <c r="AA550" s="641"/>
      <c r="AB550" s="641"/>
      <c r="AC550" s="641"/>
      <c r="AD550" s="641"/>
      <c r="AE550" s="641"/>
      <c r="AF550" s="641"/>
      <c r="AG550" s="641"/>
      <c r="AH550" s="641"/>
      <c r="AI550" s="641"/>
      <c r="AJ550" s="641"/>
      <c r="AK550" s="641"/>
      <c r="AL550" s="594"/>
      <c r="AM550" s="594"/>
      <c r="AN550" s="596"/>
      <c r="AP550" s="2635">
        <f>Application!AJ992</f>
        <v>67772195</v>
      </c>
      <c r="AQ550" s="2635"/>
      <c r="AR550" s="2635"/>
      <c r="AS550" s="549" t="s">
        <v>2171</v>
      </c>
    </row>
    <row r="551" spans="1:49" s="549" customFormat="1" ht="12.75" customHeight="1">
      <c r="A551" s="497"/>
      <c r="B551" s="446" t="s">
        <v>1566</v>
      </c>
      <c r="C551" s="622"/>
      <c r="D551" s="622"/>
      <c r="E551" s="622"/>
      <c r="F551" s="14"/>
      <c r="G551" s="623"/>
      <c r="H551" s="623"/>
      <c r="I551" s="623"/>
      <c r="J551" s="623"/>
      <c r="K551" s="623"/>
      <c r="L551" s="623"/>
      <c r="M551" s="623"/>
      <c r="N551" s="623"/>
      <c r="O551" s="623"/>
      <c r="P551" s="623"/>
      <c r="Q551" s="623"/>
      <c r="R551" s="14"/>
      <c r="S551" s="14"/>
      <c r="T551" s="14"/>
      <c r="U551" s="14"/>
      <c r="V551" s="14"/>
      <c r="W551" s="14"/>
      <c r="X551" s="623"/>
      <c r="Y551" s="623"/>
      <c r="Z551" s="623"/>
      <c r="AA551" s="621"/>
      <c r="AB551" s="621"/>
      <c r="AC551" s="621"/>
      <c r="AD551" s="621"/>
      <c r="AE551" s="14"/>
      <c r="AF551" s="2492">
        <f>'Sources and Uses Budget'!S107+'Sources and Uses Budget'!T107</f>
        <v>79517552</v>
      </c>
      <c r="AG551" s="2492"/>
      <c r="AH551" s="2492"/>
      <c r="AI551" s="2492"/>
      <c r="AJ551" s="2492"/>
      <c r="AK551" s="594"/>
      <c r="AL551" s="594"/>
      <c r="AM551" s="594"/>
      <c r="AN551" s="596"/>
    </row>
    <row r="552" spans="1:49" s="549" customFormat="1" ht="12.75" customHeight="1">
      <c r="A552" s="624"/>
      <c r="B552" s="624" t="s">
        <v>1567</v>
      </c>
      <c r="C552" s="623"/>
      <c r="D552" s="623"/>
      <c r="E552" s="625"/>
      <c r="F552" s="625"/>
      <c r="G552" s="625"/>
      <c r="H552" s="625"/>
      <c r="I552" s="625"/>
      <c r="J552" s="625"/>
      <c r="K552" s="625"/>
      <c r="L552" s="623"/>
      <c r="M552" s="625"/>
      <c r="N552" s="625"/>
      <c r="O552" s="625"/>
      <c r="P552" s="625"/>
      <c r="Q552" s="625"/>
      <c r="R552" s="14"/>
      <c r="S552" s="14"/>
      <c r="T552" s="14"/>
      <c r="U552" s="14"/>
      <c r="V552" s="14"/>
      <c r="W552" s="14"/>
      <c r="X552" s="623"/>
      <c r="Y552" s="623"/>
      <c r="Z552" s="623"/>
      <c r="AA552" s="621"/>
      <c r="AB552" s="621"/>
      <c r="AC552" s="621"/>
      <c r="AD552" s="621"/>
      <c r="AE552" s="14"/>
      <c r="AF552" s="2640">
        <f>IFERROR(AP559,0)</f>
        <v>149098830</v>
      </c>
      <c r="AG552" s="2640"/>
      <c r="AH552" s="2640"/>
      <c r="AI552" s="2640"/>
      <c r="AJ552" s="2640"/>
      <c r="AK552" s="594"/>
      <c r="AL552" s="594"/>
      <c r="AM552" s="594"/>
      <c r="AN552" s="596"/>
      <c r="AP552" s="2635">
        <f>Application!AJ1045</f>
        <v>0</v>
      </c>
      <c r="AQ552" s="2635"/>
      <c r="AR552" s="2635"/>
      <c r="AS552" s="549" t="s">
        <v>1866</v>
      </c>
    </row>
    <row r="553" spans="1:49" s="549" customFormat="1" ht="12.75" customHeight="1">
      <c r="A553" s="623"/>
      <c r="B553" s="623" t="s">
        <v>13</v>
      </c>
      <c r="C553" s="623"/>
      <c r="D553" s="623"/>
      <c r="E553" s="623"/>
      <c r="F553" s="623"/>
      <c r="G553" s="623"/>
      <c r="H553" s="623"/>
      <c r="I553" s="623"/>
      <c r="J553" s="623"/>
      <c r="K553" s="623"/>
      <c r="L553" s="623"/>
      <c r="M553" s="623"/>
      <c r="N553" s="623"/>
      <c r="O553" s="623"/>
      <c r="P553" s="623"/>
      <c r="Q553" s="623"/>
      <c r="R553" s="14"/>
      <c r="S553" s="14"/>
      <c r="T553" s="14"/>
      <c r="U553" s="14"/>
      <c r="V553" s="14"/>
      <c r="W553" s="14"/>
      <c r="X553" s="623"/>
      <c r="Y553" s="623"/>
      <c r="Z553" s="623"/>
      <c r="AA553" s="621"/>
      <c r="AB553" s="621"/>
      <c r="AC553" s="621"/>
      <c r="AD553" s="621"/>
      <c r="AE553" s="14"/>
      <c r="AF553" s="2641">
        <f>IFERROR(ROUNDDOWN(IF(C544="YES",((1-(AF551/AF552))*2),(1-(AF551/AF552))),2),0)</f>
        <v>0.46</v>
      </c>
      <c r="AG553" s="2641"/>
      <c r="AH553" s="2641"/>
      <c r="AI553" s="2641"/>
      <c r="AJ553" s="2641"/>
      <c r="AK553" s="594"/>
      <c r="AL553" s="594"/>
      <c r="AM553" s="594"/>
      <c r="AN553" s="596"/>
      <c r="AP553" s="2638">
        <f>Application!AJ1049</f>
        <v>67772195</v>
      </c>
      <c r="AQ553" s="2638"/>
      <c r="AR553" s="2638"/>
      <c r="AS553" s="549" t="s">
        <v>2172</v>
      </c>
    </row>
    <row r="554" spans="1:49" s="549" customFormat="1" ht="12.75" customHeight="1">
      <c r="A554" s="623"/>
      <c r="B554" s="623"/>
      <c r="C554" s="623"/>
      <c r="D554" s="623"/>
      <c r="E554" s="623"/>
      <c r="F554" s="623"/>
      <c r="G554" s="623"/>
      <c r="H554" s="623"/>
      <c r="I554" s="623"/>
      <c r="J554" s="623"/>
      <c r="K554" s="623"/>
      <c r="L554" s="623"/>
      <c r="M554" s="623"/>
      <c r="N554" s="623"/>
      <c r="O554" s="623"/>
      <c r="P554" s="623"/>
      <c r="Q554" s="623"/>
      <c r="R554" s="14"/>
      <c r="S554" s="14"/>
      <c r="T554" s="14"/>
      <c r="U554" s="14"/>
      <c r="V554" s="14"/>
      <c r="W554" s="14"/>
      <c r="X554" s="623"/>
      <c r="Y554" s="623"/>
      <c r="Z554" s="623"/>
      <c r="AA554" s="621"/>
      <c r="AB554" s="621"/>
      <c r="AC554" s="621"/>
      <c r="AD554" s="621"/>
      <c r="AE554" s="14"/>
      <c r="AF554" s="814"/>
      <c r="AG554" s="814"/>
      <c r="AH554" s="814"/>
      <c r="AI554" s="814"/>
      <c r="AJ554" s="814"/>
      <c r="AK554" s="594"/>
      <c r="AL554" s="594"/>
      <c r="AM554" s="594"/>
      <c r="AN554" s="596"/>
      <c r="AP554" s="2634">
        <f>IF(((AP552+AP553)/AP550)&gt;0.8,0.8,((AP552+AP553)/AP550))</f>
        <v>0.8</v>
      </c>
      <c r="AQ554" s="2634"/>
      <c r="AR554" s="2634"/>
      <c r="AS554" s="549" t="s">
        <v>2173</v>
      </c>
    </row>
    <row r="555" spans="1:49" s="549" customFormat="1" ht="12.75" customHeight="1">
      <c r="A555" s="623"/>
      <c r="B555" s="2571" t="s">
        <v>2033</v>
      </c>
      <c r="C555" s="2572"/>
      <c r="D555" s="2572"/>
      <c r="E555" s="2572"/>
      <c r="F555" s="2572"/>
      <c r="G555" s="2572"/>
      <c r="H555" s="2572"/>
      <c r="I555" s="2572"/>
      <c r="J555" s="2572"/>
      <c r="K555" s="2572"/>
      <c r="L555" s="2572"/>
      <c r="M555" s="2572"/>
      <c r="N555" s="2572"/>
      <c r="O555" s="2572"/>
      <c r="P555" s="2572"/>
      <c r="Q555" s="2572"/>
      <c r="R555" s="2572"/>
      <c r="S555" s="2572"/>
      <c r="T555" s="2572"/>
      <c r="U555" s="2572"/>
      <c r="V555" s="2572"/>
      <c r="W555" s="2572"/>
      <c r="X555" s="2572"/>
      <c r="Y555" s="2572"/>
      <c r="Z555" s="2572"/>
      <c r="AA555" s="2572"/>
      <c r="AB555" s="2572"/>
      <c r="AC555" s="2572"/>
      <c r="AD555" s="2572"/>
      <c r="AE555" s="2572"/>
      <c r="AF555" s="2572"/>
      <c r="AG555" s="2572"/>
      <c r="AH555" s="2572"/>
      <c r="AI555" s="2572"/>
      <c r="AJ555" s="2573"/>
      <c r="AK555" s="594"/>
      <c r="AL555" s="594"/>
      <c r="AM555" s="594"/>
      <c r="AN555" s="596"/>
    </row>
    <row r="556" spans="1:49" s="549" customFormat="1" ht="12.75" customHeight="1">
      <c r="A556" s="623"/>
      <c r="B556" s="2574"/>
      <c r="C556" s="2575"/>
      <c r="D556" s="2575"/>
      <c r="E556" s="2575"/>
      <c r="F556" s="2575"/>
      <c r="G556" s="2575"/>
      <c r="H556" s="2575"/>
      <c r="I556" s="2575"/>
      <c r="J556" s="2575"/>
      <c r="K556" s="2575"/>
      <c r="L556" s="2575"/>
      <c r="M556" s="2575"/>
      <c r="N556" s="2575"/>
      <c r="O556" s="2575"/>
      <c r="P556" s="2575"/>
      <c r="Q556" s="2575"/>
      <c r="R556" s="2575"/>
      <c r="S556" s="2575"/>
      <c r="T556" s="2575"/>
      <c r="U556" s="2575"/>
      <c r="V556" s="2575"/>
      <c r="W556" s="2575"/>
      <c r="X556" s="2575"/>
      <c r="Y556" s="2575"/>
      <c r="Z556" s="2575"/>
      <c r="AA556" s="2575"/>
      <c r="AB556" s="2575"/>
      <c r="AC556" s="2575"/>
      <c r="AD556" s="2575"/>
      <c r="AE556" s="2575"/>
      <c r="AF556" s="2575"/>
      <c r="AG556" s="2575"/>
      <c r="AH556" s="2575"/>
      <c r="AI556" s="2575"/>
      <c r="AJ556" s="2576"/>
      <c r="AK556" s="594"/>
      <c r="AL556" s="594"/>
      <c r="AM556" s="594"/>
      <c r="AN556" s="596"/>
      <c r="AP556" s="2635">
        <f>AP557-AP552-AP553</f>
        <v>94881074</v>
      </c>
      <c r="AQ556" s="2544"/>
      <c r="AR556" s="2544"/>
      <c r="AS556" s="549" t="s">
        <v>2175</v>
      </c>
    </row>
    <row r="557" spans="1:49" s="549" customFormat="1" ht="12.75" customHeight="1">
      <c r="A557" s="623"/>
      <c r="B557" s="2577"/>
      <c r="C557" s="2578"/>
      <c r="D557" s="2578"/>
      <c r="E557" s="2578"/>
      <c r="F557" s="2578"/>
      <c r="G557" s="2578"/>
      <c r="H557" s="2578"/>
      <c r="I557" s="2578"/>
      <c r="J557" s="2578"/>
      <c r="K557" s="2578"/>
      <c r="L557" s="2578"/>
      <c r="M557" s="2578"/>
      <c r="N557" s="2578"/>
      <c r="O557" s="2578"/>
      <c r="P557" s="2578"/>
      <c r="Q557" s="2578"/>
      <c r="R557" s="2578"/>
      <c r="S557" s="2578"/>
      <c r="T557" s="2578"/>
      <c r="U557" s="2578"/>
      <c r="V557" s="2578"/>
      <c r="W557" s="2578"/>
      <c r="X557" s="2578"/>
      <c r="Y557" s="2578"/>
      <c r="Z557" s="2578"/>
      <c r="AA557" s="2578"/>
      <c r="AB557" s="2578"/>
      <c r="AC557" s="2578"/>
      <c r="AD557" s="2578"/>
      <c r="AE557" s="2578"/>
      <c r="AF557" s="2578"/>
      <c r="AG557" s="2578"/>
      <c r="AH557" s="2578"/>
      <c r="AI557" s="2578"/>
      <c r="AJ557" s="2579"/>
      <c r="AK557" s="594"/>
      <c r="AL557" s="594"/>
      <c r="AM557" s="594"/>
      <c r="AN557" s="596"/>
      <c r="AP557" s="2635">
        <f>Application!AJ1053</f>
        <v>162653269</v>
      </c>
      <c r="AQ557" s="2635"/>
      <c r="AR557" s="2635"/>
      <c r="AS557" s="549" t="s">
        <v>2174</v>
      </c>
    </row>
    <row r="558" spans="1:49" s="549" customFormat="1" ht="12.75" customHeight="1">
      <c r="B558" s="550"/>
      <c r="C558" s="550"/>
      <c r="D558" s="550"/>
      <c r="E558" s="550"/>
      <c r="F558" s="550"/>
      <c r="G558" s="550"/>
      <c r="H558" s="550"/>
      <c r="I558" s="550"/>
      <c r="J558" s="550"/>
      <c r="K558" s="550"/>
      <c r="L558" s="550"/>
      <c r="M558" s="550"/>
      <c r="N558" s="550"/>
      <c r="O558" s="550"/>
      <c r="P558" s="550"/>
      <c r="Q558" s="550"/>
      <c r="R558" s="550"/>
      <c r="S558" s="550"/>
      <c r="T558" s="550"/>
      <c r="U558" s="550"/>
      <c r="V558" s="550"/>
      <c r="W558" s="550"/>
      <c r="X558" s="550"/>
      <c r="Y558" s="550"/>
      <c r="Z558" s="550"/>
      <c r="AA558" s="550"/>
      <c r="AB558" s="550"/>
      <c r="AC558" s="615"/>
      <c r="AD558" s="550"/>
      <c r="AI558" s="542"/>
      <c r="AJ558" s="542"/>
      <c r="AK558" s="594"/>
      <c r="AL558" s="594"/>
      <c r="AM558" s="594"/>
      <c r="AN558" s="596"/>
    </row>
    <row r="559" spans="1:49" s="549" customFormat="1" ht="12.75" customHeight="1">
      <c r="A559" s="627"/>
      <c r="B559" s="627"/>
      <c r="C559" s="627"/>
      <c r="D559" s="627"/>
      <c r="E559" s="627"/>
      <c r="F559" s="627"/>
      <c r="G559" s="627"/>
      <c r="H559" s="627"/>
      <c r="I559" s="627"/>
      <c r="J559" s="627"/>
      <c r="K559" s="627"/>
      <c r="L559" s="627"/>
      <c r="M559" s="627"/>
      <c r="N559" s="627"/>
      <c r="O559" s="627"/>
      <c r="P559" s="627"/>
      <c r="Q559" s="627"/>
      <c r="R559" s="627"/>
      <c r="S559" s="627"/>
      <c r="T559" s="627"/>
      <c r="U559" s="627"/>
      <c r="V559" s="627"/>
      <c r="W559" s="627"/>
      <c r="X559" s="627"/>
      <c r="Y559" s="627"/>
      <c r="Z559" s="627"/>
      <c r="AA559" s="627"/>
      <c r="AB559" s="627"/>
      <c r="AC559" s="627"/>
      <c r="AD559" s="627"/>
      <c r="AE559" s="627"/>
      <c r="AF559" s="627"/>
      <c r="AG559" s="627"/>
      <c r="AH559" s="628"/>
      <c r="AI559" s="564"/>
      <c r="AJ559" s="564" t="s">
        <v>1568</v>
      </c>
      <c r="AK559" s="2580">
        <f>IFERROR(IF(AND(C541="N/A",C544="N/A"),0,IF(AF553=0,0,IF((AF553*100)&gt;12,12,(AF553*100)))),0)</f>
        <v>12</v>
      </c>
      <c r="AL559" s="2580"/>
      <c r="AM559" s="2581"/>
      <c r="AN559" s="596"/>
      <c r="AP559" s="2652">
        <f>AP556+(AP550*AP554)</f>
        <v>149098830</v>
      </c>
      <c r="AQ559" s="2653"/>
      <c r="AR559" s="2654"/>
    </row>
    <row r="560" spans="1:49" s="549" customFormat="1" ht="12.75" customHeight="1" thickBot="1">
      <c r="A560" s="758"/>
      <c r="B560" s="758"/>
      <c r="C560" s="758"/>
      <c r="D560" s="758"/>
      <c r="E560" s="758"/>
      <c r="F560" s="758"/>
      <c r="G560" s="758"/>
      <c r="H560" s="758"/>
      <c r="I560" s="758"/>
      <c r="J560" s="758"/>
      <c r="K560" s="758"/>
      <c r="L560" s="758"/>
      <c r="M560" s="758"/>
      <c r="N560" s="758"/>
      <c r="O560" s="758"/>
      <c r="P560" s="758"/>
      <c r="Q560" s="758"/>
      <c r="R560" s="758"/>
      <c r="S560" s="758"/>
      <c r="T560" s="758"/>
      <c r="U560" s="758"/>
      <c r="V560" s="758"/>
      <c r="W560" s="758"/>
      <c r="X560" s="758"/>
      <c r="Y560" s="758"/>
      <c r="Z560" s="758"/>
      <c r="AA560" s="758"/>
      <c r="AB560" s="758"/>
      <c r="AC560" s="758"/>
      <c r="AD560" s="758"/>
      <c r="AE560" s="758"/>
      <c r="AF560" s="758"/>
      <c r="AG560" s="758"/>
      <c r="AH560" s="758"/>
      <c r="AI560" s="758"/>
      <c r="AJ560" s="758"/>
      <c r="AK560" s="758"/>
      <c r="AL560" s="758"/>
      <c r="AM560" s="759"/>
      <c r="AN560" s="596"/>
    </row>
    <row r="561" spans="1:42" s="549" customFormat="1" ht="12.75" customHeight="1" thickTop="1">
      <c r="A561" s="665"/>
      <c r="B561" s="666"/>
      <c r="C561" s="665"/>
      <c r="D561" s="666"/>
      <c r="E561" s="666"/>
      <c r="F561" s="666"/>
      <c r="G561" s="666"/>
      <c r="H561" s="666"/>
      <c r="I561" s="666"/>
      <c r="J561" s="666"/>
      <c r="K561" s="666"/>
      <c r="L561" s="666"/>
      <c r="M561" s="666"/>
      <c r="N561" s="666"/>
      <c r="O561" s="666"/>
      <c r="P561" s="666"/>
      <c r="Q561" s="666"/>
      <c r="R561" s="666"/>
      <c r="S561" s="666"/>
      <c r="T561" s="666"/>
      <c r="U561" s="666"/>
      <c r="V561" s="666"/>
      <c r="W561" s="666"/>
      <c r="X561" s="666"/>
      <c r="Y561" s="666"/>
      <c r="Z561" s="666"/>
      <c r="AA561" s="666"/>
      <c r="AB561" s="666"/>
      <c r="AC561" s="667"/>
      <c r="AD561" s="667"/>
      <c r="AE561" s="667"/>
      <c r="AF561" s="666"/>
      <c r="AG561" s="666"/>
      <c r="AH561" s="666"/>
      <c r="AI561" s="666"/>
      <c r="AJ561" s="666"/>
      <c r="AK561" s="666"/>
      <c r="AL561" s="666"/>
      <c r="AM561" s="668"/>
      <c r="AN561" s="596"/>
    </row>
    <row r="562" spans="1:42" s="549" customFormat="1" ht="12.75" customHeight="1">
      <c r="A562" s="537" t="s">
        <v>2023</v>
      </c>
      <c r="C562" s="537"/>
      <c r="D562" s="602"/>
      <c r="E562" s="602"/>
      <c r="F562" s="602"/>
      <c r="G562" s="602"/>
      <c r="H562" s="602"/>
      <c r="I562" s="602"/>
      <c r="J562" s="602"/>
      <c r="K562" s="602"/>
      <c r="L562" s="602"/>
      <c r="M562" s="602"/>
      <c r="N562" s="602"/>
      <c r="O562" s="602"/>
      <c r="P562" s="602"/>
      <c r="Q562" s="602"/>
      <c r="R562" s="602"/>
      <c r="S562" s="602"/>
      <c r="T562" s="602"/>
      <c r="U562" s="602"/>
      <c r="V562" s="602"/>
      <c r="W562" s="602"/>
      <c r="X562" s="602"/>
      <c r="Y562" s="602"/>
      <c r="Z562" s="602"/>
      <c r="AA562" s="602"/>
      <c r="AB562" s="602"/>
      <c r="AC562" s="602"/>
      <c r="AD562" s="602"/>
      <c r="AE562" s="2419" t="s">
        <v>1315</v>
      </c>
      <c r="AF562" s="2419"/>
      <c r="AG562" s="2419"/>
      <c r="AH562" s="2419"/>
      <c r="AI562" s="2419"/>
      <c r="AJ562" s="2419"/>
      <c r="AK562" s="2419"/>
      <c r="AL562" s="590"/>
      <c r="AM562" s="602"/>
      <c r="AN562" s="596"/>
    </row>
    <row r="563" spans="1:42" s="549" customFormat="1" ht="12.75" customHeight="1">
      <c r="C563" s="602"/>
      <c r="D563" s="602"/>
      <c r="E563" s="602"/>
      <c r="F563" s="602"/>
      <c r="G563" s="602"/>
      <c r="H563" s="602"/>
      <c r="I563" s="602"/>
      <c r="J563" s="602"/>
      <c r="K563" s="602"/>
      <c r="L563" s="602"/>
      <c r="M563" s="602"/>
      <c r="N563" s="602"/>
      <c r="O563" s="602"/>
      <c r="P563" s="602"/>
      <c r="Q563" s="602"/>
      <c r="R563" s="602"/>
      <c r="S563" s="602"/>
      <c r="T563" s="602"/>
      <c r="U563" s="602"/>
      <c r="V563" s="602"/>
      <c r="W563" s="602"/>
      <c r="X563" s="602"/>
      <c r="Y563" s="602"/>
      <c r="Z563" s="602"/>
      <c r="AA563" s="602"/>
      <c r="AB563" s="602"/>
      <c r="AC563" s="602"/>
      <c r="AD563" s="602"/>
      <c r="AE563" s="602"/>
      <c r="AF563" s="602"/>
      <c r="AG563" s="602"/>
      <c r="AH563" s="602"/>
      <c r="AI563" s="602"/>
      <c r="AJ563" s="602"/>
      <c r="AK563" s="602"/>
      <c r="AL563" s="602"/>
      <c r="AM563" s="602"/>
      <c r="AN563" s="596"/>
    </row>
    <row r="564" spans="1:42" s="549" customFormat="1" ht="12.75" customHeight="1">
      <c r="A564" s="602"/>
      <c r="B564" s="2509" t="s">
        <v>2024</v>
      </c>
      <c r="C564" s="2509"/>
      <c r="D564" s="2509"/>
      <c r="E564" s="2509"/>
      <c r="F564" s="2509"/>
      <c r="G564" s="2509"/>
      <c r="H564" s="2509"/>
      <c r="I564" s="2509"/>
      <c r="J564" s="2509"/>
      <c r="K564" s="2509"/>
      <c r="L564" s="2509"/>
      <c r="M564" s="2509"/>
      <c r="N564" s="2509"/>
      <c r="O564" s="2509"/>
      <c r="P564" s="2509"/>
      <c r="Q564" s="2509"/>
      <c r="R564" s="2509"/>
      <c r="S564" s="2509"/>
      <c r="T564" s="2509"/>
      <c r="U564" s="2509"/>
      <c r="V564" s="2509"/>
      <c r="W564" s="2509"/>
      <c r="X564" s="2509"/>
      <c r="Y564" s="2509"/>
      <c r="Z564" s="2509"/>
      <c r="AA564" s="2509"/>
      <c r="AB564" s="2509"/>
      <c r="AC564" s="2509"/>
      <c r="AD564" s="2509"/>
      <c r="AE564" s="2509"/>
      <c r="AF564" s="2509"/>
      <c r="AG564" s="2509"/>
      <c r="AH564" s="2509"/>
      <c r="AI564" s="2509"/>
      <c r="AJ564" s="2509"/>
      <c r="AK564" s="641"/>
      <c r="AL564" s="572"/>
      <c r="AM564" s="602"/>
      <c r="AN564" s="596"/>
    </row>
    <row r="565" spans="1:42" s="549" customFormat="1" ht="12.75" customHeight="1">
      <c r="A565" s="602"/>
      <c r="B565" s="2509"/>
      <c r="C565" s="2509"/>
      <c r="D565" s="2509"/>
      <c r="E565" s="2509"/>
      <c r="F565" s="2509"/>
      <c r="G565" s="2509"/>
      <c r="H565" s="2509"/>
      <c r="I565" s="2509"/>
      <c r="J565" s="2509"/>
      <c r="K565" s="2509"/>
      <c r="L565" s="2509"/>
      <c r="M565" s="2509"/>
      <c r="N565" s="2509"/>
      <c r="O565" s="2509"/>
      <c r="P565" s="2509"/>
      <c r="Q565" s="2509"/>
      <c r="R565" s="2509"/>
      <c r="S565" s="2509"/>
      <c r="T565" s="2509"/>
      <c r="U565" s="2509"/>
      <c r="V565" s="2509"/>
      <c r="W565" s="2509"/>
      <c r="X565" s="2509"/>
      <c r="Y565" s="2509"/>
      <c r="Z565" s="2509"/>
      <c r="AA565" s="2509"/>
      <c r="AB565" s="2509"/>
      <c r="AC565" s="2509"/>
      <c r="AD565" s="2509"/>
      <c r="AE565" s="2509"/>
      <c r="AF565" s="2509"/>
      <c r="AG565" s="2509"/>
      <c r="AH565" s="2509"/>
      <c r="AI565" s="2509"/>
      <c r="AJ565" s="2509"/>
      <c r="AK565" s="641"/>
      <c r="AL565" s="572"/>
      <c r="AM565" s="602"/>
      <c r="AN565" s="596"/>
    </row>
    <row r="566" spans="1:42" s="549" customFormat="1" ht="12.75" customHeight="1">
      <c r="A566" s="602"/>
      <c r="B566" s="2509"/>
      <c r="C566" s="2509"/>
      <c r="D566" s="2509"/>
      <c r="E566" s="2509"/>
      <c r="F566" s="2509"/>
      <c r="G566" s="2509"/>
      <c r="H566" s="2509"/>
      <c r="I566" s="2509"/>
      <c r="J566" s="2509"/>
      <c r="K566" s="2509"/>
      <c r="L566" s="2509"/>
      <c r="M566" s="2509"/>
      <c r="N566" s="2509"/>
      <c r="O566" s="2509"/>
      <c r="P566" s="2509"/>
      <c r="Q566" s="2509"/>
      <c r="R566" s="2509"/>
      <c r="S566" s="2509"/>
      <c r="T566" s="2509"/>
      <c r="U566" s="2509"/>
      <c r="V566" s="2509"/>
      <c r="W566" s="2509"/>
      <c r="X566" s="2509"/>
      <c r="Y566" s="2509"/>
      <c r="Z566" s="2509"/>
      <c r="AA566" s="2509"/>
      <c r="AB566" s="2509"/>
      <c r="AC566" s="2509"/>
      <c r="AD566" s="2509"/>
      <c r="AE566" s="2509"/>
      <c r="AF566" s="2509"/>
      <c r="AG566" s="2509"/>
      <c r="AH566" s="2509"/>
      <c r="AI566" s="2509"/>
      <c r="AJ566" s="2509"/>
      <c r="AK566" s="641"/>
      <c r="AL566" s="572"/>
      <c r="AM566" s="602"/>
      <c r="AN566" s="596"/>
    </row>
    <row r="567" spans="1:42" s="549" customFormat="1" ht="12.75" customHeight="1">
      <c r="A567" s="602"/>
      <c r="B567" s="2509"/>
      <c r="C567" s="2509"/>
      <c r="D567" s="2509"/>
      <c r="E567" s="2509"/>
      <c r="F567" s="2509"/>
      <c r="G567" s="2509"/>
      <c r="H567" s="2509"/>
      <c r="I567" s="2509"/>
      <c r="J567" s="2509"/>
      <c r="K567" s="2509"/>
      <c r="L567" s="2509"/>
      <c r="M567" s="2509"/>
      <c r="N567" s="2509"/>
      <c r="O567" s="2509"/>
      <c r="P567" s="2509"/>
      <c r="Q567" s="2509"/>
      <c r="R567" s="2509"/>
      <c r="S567" s="2509"/>
      <c r="T567" s="2509"/>
      <c r="U567" s="2509"/>
      <c r="V567" s="2509"/>
      <c r="W567" s="2509"/>
      <c r="X567" s="2509"/>
      <c r="Y567" s="2509"/>
      <c r="Z567" s="2509"/>
      <c r="AA567" s="2509"/>
      <c r="AB567" s="2509"/>
      <c r="AC567" s="2509"/>
      <c r="AD567" s="2509"/>
      <c r="AE567" s="2509"/>
      <c r="AF567" s="2509"/>
      <c r="AG567" s="2509"/>
      <c r="AH567" s="2509"/>
      <c r="AI567" s="2509"/>
      <c r="AJ567" s="2509"/>
      <c r="AK567" s="641"/>
      <c r="AL567" s="572"/>
      <c r="AM567" s="602"/>
      <c r="AN567" s="596"/>
    </row>
    <row r="568" spans="1:42" s="549" customFormat="1" ht="12.75" customHeight="1">
      <c r="A568" s="602"/>
      <c r="B568" s="2509"/>
      <c r="C568" s="2509"/>
      <c r="D568" s="2509"/>
      <c r="E568" s="2509"/>
      <c r="F568" s="2509"/>
      <c r="G568" s="2509"/>
      <c r="H568" s="2509"/>
      <c r="I568" s="2509"/>
      <c r="J568" s="2509"/>
      <c r="K568" s="2509"/>
      <c r="L568" s="2509"/>
      <c r="M568" s="2509"/>
      <c r="N568" s="2509"/>
      <c r="O568" s="2509"/>
      <c r="P568" s="2509"/>
      <c r="Q568" s="2509"/>
      <c r="R568" s="2509"/>
      <c r="S568" s="2509"/>
      <c r="T568" s="2509"/>
      <c r="U568" s="2509"/>
      <c r="V568" s="2509"/>
      <c r="W568" s="2509"/>
      <c r="X568" s="2509"/>
      <c r="Y568" s="2509"/>
      <c r="Z568" s="2509"/>
      <c r="AA568" s="2509"/>
      <c r="AB568" s="2509"/>
      <c r="AC568" s="2509"/>
      <c r="AD568" s="2509"/>
      <c r="AE568" s="2509"/>
      <c r="AF568" s="2509"/>
      <c r="AG568" s="2509"/>
      <c r="AH568" s="2509"/>
      <c r="AI568" s="2509"/>
      <c r="AJ568" s="2509"/>
      <c r="AK568" s="641"/>
      <c r="AL568" s="572"/>
      <c r="AM568" s="602"/>
      <c r="AN568" s="596"/>
    </row>
    <row r="569" spans="1:42" s="549" customFormat="1" ht="12.75" customHeight="1">
      <c r="A569" s="602"/>
      <c r="B569" s="2509"/>
      <c r="C569" s="2509"/>
      <c r="D569" s="2509"/>
      <c r="E569" s="2509"/>
      <c r="F569" s="2509"/>
      <c r="G569" s="2509"/>
      <c r="H569" s="2509"/>
      <c r="I569" s="2509"/>
      <c r="J569" s="2509"/>
      <c r="K569" s="2509"/>
      <c r="L569" s="2509"/>
      <c r="M569" s="2509"/>
      <c r="N569" s="2509"/>
      <c r="O569" s="2509"/>
      <c r="P569" s="2509"/>
      <c r="Q569" s="2509"/>
      <c r="R569" s="2509"/>
      <c r="S569" s="2509"/>
      <c r="T569" s="2509"/>
      <c r="U569" s="2509"/>
      <c r="V569" s="2509"/>
      <c r="W569" s="2509"/>
      <c r="X569" s="2509"/>
      <c r="Y569" s="2509"/>
      <c r="Z569" s="2509"/>
      <c r="AA569" s="2509"/>
      <c r="AB569" s="2509"/>
      <c r="AC569" s="2509"/>
      <c r="AD569" s="2509"/>
      <c r="AE569" s="2509"/>
      <c r="AF569" s="2509"/>
      <c r="AG569" s="2509"/>
      <c r="AH569" s="2509"/>
      <c r="AI569" s="2509"/>
      <c r="AJ569" s="2509"/>
      <c r="AK569" s="641"/>
      <c r="AL569" s="572"/>
      <c r="AM569" s="602"/>
      <c r="AN569" s="596"/>
    </row>
    <row r="570" spans="1:42" s="549" customFormat="1" ht="12.75" customHeight="1">
      <c r="A570" s="602"/>
      <c r="B570" s="2509"/>
      <c r="C570" s="2509"/>
      <c r="D570" s="2509"/>
      <c r="E570" s="2509"/>
      <c r="F570" s="2509"/>
      <c r="G570" s="2509"/>
      <c r="H570" s="2509"/>
      <c r="I570" s="2509"/>
      <c r="J570" s="2509"/>
      <c r="K570" s="2509"/>
      <c r="L570" s="2509"/>
      <c r="M570" s="2509"/>
      <c r="N570" s="2509"/>
      <c r="O570" s="2509"/>
      <c r="P570" s="2509"/>
      <c r="Q570" s="2509"/>
      <c r="R570" s="2509"/>
      <c r="S570" s="2509"/>
      <c r="T570" s="2509"/>
      <c r="U570" s="2509"/>
      <c r="V570" s="2509"/>
      <c r="W570" s="2509"/>
      <c r="X570" s="2509"/>
      <c r="Y570" s="2509"/>
      <c r="Z570" s="2509"/>
      <c r="AA570" s="2509"/>
      <c r="AB570" s="2509"/>
      <c r="AC570" s="2509"/>
      <c r="AD570" s="2509"/>
      <c r="AE570" s="2509"/>
      <c r="AF570" s="2509"/>
      <c r="AG570" s="2509"/>
      <c r="AH570" s="2509"/>
      <c r="AI570" s="2509"/>
      <c r="AJ570" s="2509"/>
      <c r="AK570" s="641"/>
      <c r="AL570" s="572"/>
      <c r="AM570" s="602"/>
      <c r="AN570" s="596"/>
    </row>
    <row r="571" spans="1:42" ht="12.75" customHeight="1">
      <c r="A571" s="602"/>
      <c r="B571" s="2509"/>
      <c r="C571" s="2509"/>
      <c r="D571" s="2509"/>
      <c r="E571" s="2509"/>
      <c r="F571" s="2509"/>
      <c r="G571" s="2509"/>
      <c r="H571" s="2509"/>
      <c r="I571" s="2509"/>
      <c r="J571" s="2509"/>
      <c r="K571" s="2509"/>
      <c r="L571" s="2509"/>
      <c r="M571" s="2509"/>
      <c r="N571" s="2509"/>
      <c r="O571" s="2509"/>
      <c r="P571" s="2509"/>
      <c r="Q571" s="2509"/>
      <c r="R571" s="2509"/>
      <c r="S571" s="2509"/>
      <c r="T571" s="2509"/>
      <c r="U571" s="2509"/>
      <c r="V571" s="2509"/>
      <c r="W571" s="2509"/>
      <c r="X571" s="2509"/>
      <c r="Y571" s="2509"/>
      <c r="Z571" s="2509"/>
      <c r="AA571" s="2509"/>
      <c r="AB571" s="2509"/>
      <c r="AC571" s="2509"/>
      <c r="AD571" s="2509"/>
      <c r="AE571" s="2509"/>
      <c r="AF571" s="2509"/>
      <c r="AG571" s="2509"/>
      <c r="AH571" s="2509"/>
      <c r="AI571" s="2509"/>
      <c r="AJ571" s="2509"/>
      <c r="AK571" s="641"/>
      <c r="AL571" s="572"/>
      <c r="AM571" s="602"/>
    </row>
    <row r="572" spans="1:42" s="549" customFormat="1" ht="12.75" customHeight="1">
      <c r="B572" s="2509"/>
      <c r="C572" s="2509"/>
      <c r="D572" s="2509"/>
      <c r="E572" s="2509"/>
      <c r="F572" s="2509"/>
      <c r="G572" s="2509"/>
      <c r="H572" s="2509"/>
      <c r="I572" s="2509"/>
      <c r="J572" s="2509"/>
      <c r="K572" s="2509"/>
      <c r="L572" s="2509"/>
      <c r="M572" s="2509"/>
      <c r="N572" s="2509"/>
      <c r="O572" s="2509"/>
      <c r="P572" s="2509"/>
      <c r="Q572" s="2509"/>
      <c r="R572" s="2509"/>
      <c r="S572" s="2509"/>
      <c r="T572" s="2509"/>
      <c r="U572" s="2509"/>
      <c r="V572" s="2509"/>
      <c r="W572" s="2509"/>
      <c r="X572" s="2509"/>
      <c r="Y572" s="2509"/>
      <c r="Z572" s="2509"/>
      <c r="AA572" s="2509"/>
      <c r="AB572" s="2509"/>
      <c r="AC572" s="2509"/>
      <c r="AD572" s="2509"/>
      <c r="AE572" s="2509"/>
      <c r="AF572" s="2509"/>
      <c r="AG572" s="2509"/>
      <c r="AH572" s="2509"/>
      <c r="AI572" s="2509"/>
      <c r="AJ572" s="2509"/>
      <c r="AK572" s="641"/>
      <c r="AL572" s="572"/>
      <c r="AN572" s="596"/>
    </row>
    <row r="573" spans="1:42" s="549" customFormat="1" ht="12.75" customHeight="1">
      <c r="B573" s="641"/>
      <c r="C573" s="641"/>
      <c r="D573" s="641"/>
      <c r="E573" s="641"/>
      <c r="F573" s="641"/>
      <c r="G573" s="641"/>
      <c r="H573" s="641"/>
      <c r="I573" s="641"/>
      <c r="J573" s="641"/>
      <c r="K573" s="641"/>
      <c r="L573" s="641"/>
      <c r="M573" s="641"/>
      <c r="N573" s="641"/>
      <c r="O573" s="641"/>
      <c r="P573" s="641"/>
      <c r="Q573" s="641"/>
      <c r="R573" s="641"/>
      <c r="S573" s="641"/>
      <c r="T573" s="641"/>
      <c r="U573" s="641"/>
      <c r="V573" s="641"/>
      <c r="W573" s="641"/>
      <c r="X573" s="641"/>
      <c r="Y573" s="641"/>
      <c r="Z573" s="641"/>
      <c r="AA573" s="641"/>
      <c r="AB573" s="641"/>
      <c r="AC573" s="641"/>
      <c r="AD573" s="641"/>
      <c r="AE573" s="641"/>
      <c r="AF573" s="641"/>
      <c r="AG573" s="641"/>
      <c r="AH573" s="641"/>
      <c r="AI573" s="641"/>
      <c r="AJ573" s="641"/>
      <c r="AK573" s="641"/>
      <c r="AL573" s="572"/>
      <c r="AN573" s="596"/>
    </row>
    <row r="574" spans="1:42" s="549" customFormat="1" ht="12.75" customHeight="1">
      <c r="B574" s="662" t="s">
        <v>1395</v>
      </c>
      <c r="C574" s="670"/>
      <c r="D574" s="572"/>
      <c r="E574" s="572"/>
      <c r="F574" s="572"/>
      <c r="G574" s="572"/>
      <c r="H574" s="572"/>
      <c r="I574" s="572"/>
      <c r="J574" s="572"/>
      <c r="K574" s="572"/>
      <c r="L574" s="572"/>
      <c r="M574" s="572"/>
      <c r="N574" s="572"/>
      <c r="O574" s="572"/>
      <c r="P574" s="572"/>
      <c r="Q574" s="572"/>
      <c r="R574" s="572"/>
      <c r="S574" s="572"/>
      <c r="T574" s="572"/>
      <c r="U574" s="572"/>
      <c r="V574" s="572"/>
      <c r="W574" s="572"/>
      <c r="X574" s="572"/>
      <c r="Y574" s="572"/>
      <c r="Z574" s="572"/>
      <c r="AA574" s="572"/>
      <c r="AB574" s="572"/>
      <c r="AC574" s="572"/>
      <c r="AD574" s="572"/>
      <c r="AE574" s="572"/>
      <c r="AF574" s="572"/>
      <c r="AG574" s="572"/>
      <c r="AH574" s="572"/>
      <c r="AI574" s="572"/>
      <c r="AN574" s="596"/>
      <c r="AP574" s="549" t="s">
        <v>592</v>
      </c>
    </row>
    <row r="575" spans="1:42" s="549" customFormat="1" ht="12.75" customHeight="1">
      <c r="B575" s="535"/>
      <c r="C575" s="670"/>
      <c r="D575" s="572"/>
      <c r="E575" s="572"/>
      <c r="F575" s="572"/>
      <c r="G575" s="572"/>
      <c r="H575" s="572"/>
      <c r="I575" s="572"/>
      <c r="J575" s="572"/>
      <c r="K575" s="572"/>
      <c r="L575" s="572"/>
      <c r="M575" s="572"/>
      <c r="N575" s="572"/>
      <c r="O575" s="572"/>
      <c r="P575" s="572"/>
      <c r="Q575" s="572"/>
      <c r="R575" s="572"/>
      <c r="S575" s="572"/>
      <c r="T575" s="572"/>
      <c r="U575" s="572"/>
      <c r="V575" s="572"/>
      <c r="W575" s="572"/>
      <c r="X575" s="572"/>
      <c r="Y575" s="572"/>
      <c r="Z575" s="572"/>
      <c r="AA575" s="572"/>
      <c r="AB575" s="572"/>
      <c r="AC575" s="572"/>
      <c r="AD575" s="572"/>
      <c r="AE575" s="572"/>
      <c r="AF575" s="572"/>
      <c r="AG575" s="572"/>
      <c r="AH575" s="572"/>
      <c r="AI575" s="572"/>
      <c r="AN575" s="596"/>
      <c r="AP575" s="549" t="s">
        <v>546</v>
      </c>
    </row>
    <row r="576" spans="1:42" s="549" customFormat="1" ht="12.75" customHeight="1">
      <c r="C576" s="538" t="s">
        <v>1396</v>
      </c>
      <c r="D576" s="671"/>
      <c r="E576" s="572"/>
      <c r="F576" s="572"/>
      <c r="G576" s="572"/>
      <c r="H576" s="572"/>
      <c r="I576" s="572"/>
      <c r="J576" s="572"/>
      <c r="K576" s="572"/>
      <c r="L576" s="572"/>
      <c r="M576" s="572"/>
      <c r="N576" s="572"/>
      <c r="O576" s="572"/>
      <c r="P576" s="572"/>
      <c r="Q576" s="572"/>
      <c r="R576" s="572"/>
      <c r="S576" s="572"/>
      <c r="T576" s="572"/>
      <c r="U576" s="572"/>
      <c r="V576" s="572"/>
      <c r="W576" s="572"/>
      <c r="X576" s="572"/>
      <c r="Y576" s="572"/>
      <c r="Z576" s="572"/>
      <c r="AA576" s="572"/>
      <c r="AB576" s="572"/>
      <c r="AC576" s="572"/>
      <c r="AD576" s="572"/>
      <c r="AE576" s="572"/>
      <c r="AF576" s="572"/>
      <c r="AG576" s="572"/>
      <c r="AH576" s="572"/>
      <c r="AI576" s="572"/>
      <c r="AN576" s="596"/>
    </row>
    <row r="577" spans="1:42" s="549" customFormat="1" ht="12.75" customHeight="1">
      <c r="B577" s="535"/>
      <c r="C577" s="535"/>
      <c r="D577" s="639"/>
      <c r="E577" s="642"/>
      <c r="F577" s="642"/>
      <c r="G577" s="642"/>
      <c r="H577" s="642"/>
      <c r="I577" s="642"/>
      <c r="J577" s="642"/>
      <c r="K577" s="642"/>
      <c r="L577" s="642"/>
      <c r="M577" s="642"/>
      <c r="N577" s="642"/>
      <c r="O577" s="642"/>
      <c r="P577" s="642"/>
      <c r="Q577" s="642"/>
      <c r="R577" s="642"/>
      <c r="S577" s="642"/>
      <c r="T577" s="642"/>
      <c r="U577" s="642"/>
      <c r="V577" s="642"/>
      <c r="W577" s="642"/>
      <c r="X577" s="642"/>
      <c r="Y577" s="642"/>
      <c r="Z577" s="642"/>
      <c r="AA577" s="642"/>
      <c r="AB577" s="642"/>
      <c r="AC577" s="642"/>
      <c r="AD577" s="642"/>
      <c r="AE577" s="642"/>
      <c r="AF577" s="535"/>
      <c r="AG577" s="535"/>
      <c r="AH577" s="535"/>
      <c r="AI577" s="535"/>
      <c r="AJ577" s="535"/>
      <c r="AK577" s="535"/>
      <c r="AL577" s="535"/>
      <c r="AN577" s="596"/>
    </row>
    <row r="578" spans="1:42" s="549" customFormat="1" ht="12.75" customHeight="1">
      <c r="B578" s="535"/>
      <c r="C578" s="535"/>
      <c r="D578" s="662" t="s">
        <v>688</v>
      </c>
      <c r="E578" s="837" t="s">
        <v>1699</v>
      </c>
      <c r="F578" s="641"/>
      <c r="G578" s="641"/>
      <c r="H578" s="641"/>
      <c r="I578" s="641"/>
      <c r="J578" s="641"/>
      <c r="K578" s="641"/>
      <c r="L578" s="641"/>
      <c r="M578" s="641"/>
      <c r="N578" s="641"/>
      <c r="O578" s="641"/>
      <c r="P578" s="641"/>
      <c r="Q578" s="641"/>
      <c r="R578" s="641"/>
      <c r="S578" s="641"/>
      <c r="T578" s="641"/>
      <c r="U578" s="641"/>
      <c r="V578" s="641"/>
      <c r="W578" s="641"/>
      <c r="X578" s="641"/>
      <c r="Y578" s="641"/>
      <c r="Z578" s="641"/>
      <c r="AA578" s="641"/>
      <c r="AB578" s="641"/>
      <c r="AC578" s="535"/>
      <c r="AD578" s="535"/>
      <c r="AE578" s="535"/>
      <c r="AF578" s="2454" t="s">
        <v>1339</v>
      </c>
      <c r="AG578" s="2454"/>
      <c r="AH578" s="2454"/>
      <c r="AI578" s="2454"/>
      <c r="AJ578" s="2454"/>
      <c r="AK578" s="2454"/>
      <c r="AL578" s="2454"/>
      <c r="AN578" s="596"/>
    </row>
    <row r="579" spans="1:42" s="549" customFormat="1" ht="12.75" customHeight="1">
      <c r="B579" s="535"/>
      <c r="C579" s="615"/>
      <c r="D579" s="662"/>
      <c r="E579" s="837" t="s">
        <v>1700</v>
      </c>
      <c r="F579" s="641"/>
      <c r="G579" s="641"/>
      <c r="H579" s="641"/>
      <c r="I579" s="641"/>
      <c r="J579" s="641"/>
      <c r="K579" s="641"/>
      <c r="L579" s="641"/>
      <c r="M579" s="641"/>
      <c r="N579" s="641"/>
      <c r="O579" s="641"/>
      <c r="P579" s="641"/>
      <c r="Q579" s="641"/>
      <c r="R579" s="641"/>
      <c r="S579" s="641"/>
      <c r="T579" s="641"/>
      <c r="U579" s="641"/>
      <c r="V579" s="641"/>
      <c r="W579" s="641"/>
      <c r="X579" s="641"/>
      <c r="Y579" s="641"/>
      <c r="Z579" s="641"/>
      <c r="AA579" s="641"/>
      <c r="AB579" s="641"/>
      <c r="AC579" s="535"/>
      <c r="AD579" s="535"/>
      <c r="AE579" s="615"/>
      <c r="AF579" s="615"/>
      <c r="AG579" s="615"/>
      <c r="AH579" s="615"/>
      <c r="AI579" s="615"/>
      <c r="AJ579" s="615"/>
      <c r="AK579" s="615"/>
      <c r="AL579" s="615"/>
      <c r="AN579" s="596"/>
    </row>
    <row r="580" spans="1:42" s="549" customFormat="1" ht="12.75" customHeight="1">
      <c r="B580" s="535"/>
      <c r="C580" s="615"/>
      <c r="D580" s="662"/>
      <c r="E580" s="837" t="s">
        <v>1701</v>
      </c>
      <c r="F580" s="641"/>
      <c r="G580" s="641"/>
      <c r="H580" s="641"/>
      <c r="I580" s="641"/>
      <c r="J580" s="641"/>
      <c r="K580" s="641"/>
      <c r="L580" s="641"/>
      <c r="M580" s="641"/>
      <c r="N580" s="641"/>
      <c r="O580" s="641"/>
      <c r="P580" s="641"/>
      <c r="Q580" s="641"/>
      <c r="R580" s="641"/>
      <c r="S580" s="641"/>
      <c r="T580" s="641"/>
      <c r="U580" s="641"/>
      <c r="V580" s="641"/>
      <c r="W580" s="641"/>
      <c r="X580" s="641"/>
      <c r="Y580" s="641"/>
      <c r="Z580" s="641"/>
      <c r="AA580" s="641"/>
      <c r="AB580" s="641"/>
      <c r="AC580" s="535"/>
      <c r="AD580" s="535"/>
      <c r="AE580" s="615"/>
      <c r="AF580" s="615"/>
      <c r="AG580" s="615"/>
      <c r="AH580" s="615"/>
      <c r="AI580" s="615"/>
      <c r="AJ580" s="615"/>
      <c r="AK580" s="615"/>
      <c r="AL580" s="615"/>
      <c r="AN580" s="596"/>
    </row>
    <row r="581" spans="1:42" s="549" customFormat="1" ht="12.75" customHeight="1">
      <c r="B581" s="535"/>
      <c r="C581" s="615"/>
      <c r="D581" s="662"/>
      <c r="E581" s="837" t="s">
        <v>1702</v>
      </c>
      <c r="F581" s="641"/>
      <c r="G581" s="641"/>
      <c r="H581" s="641"/>
      <c r="I581" s="641"/>
      <c r="J581" s="641"/>
      <c r="K581" s="641"/>
      <c r="L581" s="641"/>
      <c r="M581" s="641"/>
      <c r="N581" s="641"/>
      <c r="O581" s="641"/>
      <c r="P581" s="641"/>
      <c r="Q581" s="641"/>
      <c r="R581" s="641"/>
      <c r="S581" s="641"/>
      <c r="T581" s="641"/>
      <c r="U581" s="641"/>
      <c r="V581" s="641"/>
      <c r="W581" s="641"/>
      <c r="X581" s="641"/>
      <c r="Y581" s="641"/>
      <c r="Z581" s="641"/>
      <c r="AA581" s="641"/>
      <c r="AB581" s="641"/>
      <c r="AC581" s="535"/>
      <c r="AD581" s="535"/>
      <c r="AE581" s="615"/>
      <c r="AF581" s="615"/>
      <c r="AG581" s="615"/>
      <c r="AH581" s="615"/>
      <c r="AI581" s="615"/>
      <c r="AJ581" s="615"/>
      <c r="AK581" s="615"/>
      <c r="AL581" s="615"/>
      <c r="AN581" s="596"/>
    </row>
    <row r="582" spans="1:42" s="549" customFormat="1" ht="12.75" customHeight="1">
      <c r="B582" s="535"/>
      <c r="C582" s="615"/>
      <c r="D582" s="662"/>
      <c r="E582" s="837" t="s">
        <v>1703</v>
      </c>
      <c r="F582" s="641"/>
      <c r="G582" s="641"/>
      <c r="H582" s="641"/>
      <c r="I582" s="641"/>
      <c r="J582" s="641"/>
      <c r="K582" s="641"/>
      <c r="L582" s="641"/>
      <c r="M582" s="641"/>
      <c r="N582" s="641"/>
      <c r="O582" s="641"/>
      <c r="P582" s="641"/>
      <c r="Q582" s="641"/>
      <c r="R582" s="641"/>
      <c r="S582" s="641"/>
      <c r="T582" s="641"/>
      <c r="U582" s="641"/>
      <c r="V582" s="641"/>
      <c r="W582" s="641"/>
      <c r="X582" s="641"/>
      <c r="Y582" s="641"/>
      <c r="Z582" s="641"/>
      <c r="AA582" s="641"/>
      <c r="AB582" s="641"/>
      <c r="AC582" s="535"/>
      <c r="AD582" s="535"/>
      <c r="AE582" s="615"/>
      <c r="AF582" s="615"/>
      <c r="AG582" s="615"/>
      <c r="AH582" s="615"/>
      <c r="AI582" s="615"/>
      <c r="AJ582" s="615"/>
      <c r="AK582" s="615"/>
      <c r="AL582" s="615"/>
      <c r="AN582" s="596"/>
      <c r="AO582" s="22" t="s">
        <v>2176</v>
      </c>
      <c r="AP582" s="549" t="b">
        <f>IF(Application!AF418&gt;=25,TRUE,FALSE)</f>
        <v>1</v>
      </c>
    </row>
    <row r="583" spans="1:42" s="549" customFormat="1" ht="12.75" customHeight="1">
      <c r="B583" s="535"/>
      <c r="C583" s="615"/>
      <c r="D583" s="662"/>
      <c r="E583" s="837" t="s">
        <v>1704</v>
      </c>
      <c r="F583" s="641"/>
      <c r="G583" s="641"/>
      <c r="H583" s="641"/>
      <c r="I583" s="641"/>
      <c r="J583" s="641"/>
      <c r="K583" s="641"/>
      <c r="L583" s="641"/>
      <c r="M583" s="641"/>
      <c r="N583" s="641"/>
      <c r="O583" s="641"/>
      <c r="P583" s="641"/>
      <c r="Q583" s="641"/>
      <c r="R583" s="641"/>
      <c r="S583" s="641"/>
      <c r="T583" s="641"/>
      <c r="U583" s="641"/>
      <c r="V583" s="641"/>
      <c r="W583" s="641"/>
      <c r="X583" s="641"/>
      <c r="Y583" s="641"/>
      <c r="Z583" s="641"/>
      <c r="AA583" s="641"/>
      <c r="AB583" s="641"/>
      <c r="AC583" s="535"/>
      <c r="AD583" s="535"/>
      <c r="AE583" s="615"/>
      <c r="AF583" s="615"/>
      <c r="AG583" s="615"/>
      <c r="AH583" s="615"/>
      <c r="AI583" s="615"/>
      <c r="AJ583" s="615"/>
      <c r="AK583" s="615"/>
      <c r="AL583" s="615"/>
      <c r="AN583" s="596"/>
      <c r="AO583" s="22" t="s">
        <v>2177</v>
      </c>
      <c r="AP583" s="549" t="b">
        <f>Application!T199="Yes"</f>
        <v>0</v>
      </c>
    </row>
    <row r="584" spans="1:42" s="549" customFormat="1" ht="12.75" customHeight="1">
      <c r="B584" s="535"/>
      <c r="C584" s="615"/>
      <c r="D584" s="662"/>
      <c r="E584" s="837"/>
      <c r="F584" s="641"/>
      <c r="G584" s="641"/>
      <c r="H584" s="641"/>
      <c r="I584" s="641"/>
      <c r="J584" s="641"/>
      <c r="K584" s="641"/>
      <c r="L584" s="641"/>
      <c r="M584" s="641"/>
      <c r="N584" s="641"/>
      <c r="O584" s="641"/>
      <c r="P584" s="641"/>
      <c r="Q584" s="641"/>
      <c r="R584" s="641"/>
      <c r="S584" s="641"/>
      <c r="T584" s="641"/>
      <c r="U584" s="641"/>
      <c r="V584" s="641"/>
      <c r="W584" s="641"/>
      <c r="X584" s="641"/>
      <c r="Y584" s="641"/>
      <c r="Z584" s="641"/>
      <c r="AA584" s="641"/>
      <c r="AB584" s="641"/>
      <c r="AC584" s="535"/>
      <c r="AD584" s="535"/>
      <c r="AE584" s="615"/>
      <c r="AF584" s="535"/>
      <c r="AG584" s="535"/>
      <c r="AH584" s="535"/>
      <c r="AI584" s="535"/>
      <c r="AJ584" s="535"/>
      <c r="AK584" s="535"/>
      <c r="AL584" s="535"/>
      <c r="AN584" s="596"/>
    </row>
    <row r="585" spans="1:42" s="549" customFormat="1" ht="12.75" customHeight="1">
      <c r="A585" s="636"/>
      <c r="B585" s="535"/>
      <c r="C585" s="930"/>
      <c r="D585" s="662" t="s">
        <v>510</v>
      </c>
      <c r="E585" s="837" t="s">
        <v>1705</v>
      </c>
      <c r="F585" s="931"/>
      <c r="G585" s="931"/>
      <c r="H585" s="931"/>
      <c r="I585" s="931"/>
      <c r="J585" s="931"/>
      <c r="K585" s="931"/>
      <c r="L585" s="931"/>
      <c r="M585" s="931"/>
      <c r="N585" s="931"/>
      <c r="O585" s="931"/>
      <c r="P585" s="931"/>
      <c r="Q585" s="931"/>
      <c r="R585" s="931"/>
      <c r="S585" s="931"/>
      <c r="T585" s="931"/>
      <c r="U585" s="931"/>
      <c r="V585" s="931"/>
      <c r="W585" s="931"/>
      <c r="X585" s="931"/>
      <c r="Y585" s="931"/>
      <c r="Z585" s="931"/>
      <c r="AA585" s="931"/>
      <c r="AB585" s="931"/>
      <c r="AC585" s="535"/>
      <c r="AD585" s="535"/>
      <c r="AE585" s="535"/>
      <c r="AF585" s="2454" t="s">
        <v>1397</v>
      </c>
      <c r="AG585" s="2454"/>
      <c r="AH585" s="2454"/>
      <c r="AI585" s="2454"/>
      <c r="AJ585" s="2454"/>
      <c r="AK585" s="2454"/>
      <c r="AL585" s="2454"/>
      <c r="AN585" s="596"/>
    </row>
    <row r="586" spans="1:42" s="549" customFormat="1" ht="12.75" customHeight="1">
      <c r="B586" s="535"/>
      <c r="C586" s="932"/>
      <c r="D586" s="662"/>
      <c r="E586" s="837" t="s">
        <v>1706</v>
      </c>
      <c r="F586" s="931"/>
      <c r="G586" s="931"/>
      <c r="H586" s="931"/>
      <c r="I586" s="931"/>
      <c r="J586" s="931"/>
      <c r="K586" s="931"/>
      <c r="L586" s="931"/>
      <c r="M586" s="931"/>
      <c r="N586" s="931"/>
      <c r="O586" s="931"/>
      <c r="P586" s="931"/>
      <c r="Q586" s="931"/>
      <c r="R586" s="931"/>
      <c r="S586" s="931"/>
      <c r="T586" s="931"/>
      <c r="U586" s="931"/>
      <c r="V586" s="931"/>
      <c r="W586" s="931"/>
      <c r="X586" s="931"/>
      <c r="Y586" s="931"/>
      <c r="Z586" s="931"/>
      <c r="AA586" s="931"/>
      <c r="AB586" s="931"/>
      <c r="AC586" s="535"/>
      <c r="AD586" s="535"/>
      <c r="AE586" s="535"/>
      <c r="AF586" s="535"/>
      <c r="AG586" s="535"/>
      <c r="AH586" s="535"/>
      <c r="AI586" s="535"/>
      <c r="AJ586" s="535"/>
      <c r="AK586" s="535"/>
      <c r="AL586" s="535"/>
      <c r="AN586" s="596"/>
      <c r="AO586" s="549" t="s">
        <v>592</v>
      </c>
      <c r="AP586" s="672">
        <v>0</v>
      </c>
    </row>
    <row r="587" spans="1:42" s="549" customFormat="1" ht="12.75" customHeight="1">
      <c r="B587" s="609"/>
      <c r="C587" s="930"/>
      <c r="D587" s="662"/>
      <c r="E587" s="837" t="s">
        <v>1707</v>
      </c>
      <c r="F587" s="931"/>
      <c r="G587" s="931"/>
      <c r="H587" s="931"/>
      <c r="I587" s="931"/>
      <c r="J587" s="931"/>
      <c r="K587" s="931"/>
      <c r="L587" s="931"/>
      <c r="M587" s="931"/>
      <c r="N587" s="931"/>
      <c r="O587" s="931"/>
      <c r="P587" s="931"/>
      <c r="Q587" s="931"/>
      <c r="R587" s="931"/>
      <c r="S587" s="931"/>
      <c r="T587" s="931"/>
      <c r="U587" s="931"/>
      <c r="V587" s="931"/>
      <c r="W587" s="931"/>
      <c r="X587" s="931"/>
      <c r="Y587" s="931"/>
      <c r="Z587" s="931"/>
      <c r="AA587" s="931"/>
      <c r="AB587" s="931"/>
      <c r="AC587" s="535"/>
      <c r="AD587" s="535"/>
      <c r="AE587" s="535"/>
      <c r="AF587" s="535"/>
      <c r="AG587" s="535"/>
      <c r="AH587" s="535"/>
      <c r="AI587" s="535"/>
      <c r="AJ587" s="535"/>
      <c r="AK587" s="535"/>
      <c r="AL587" s="535"/>
      <c r="AN587" s="596"/>
      <c r="AO587" s="610" t="s">
        <v>688</v>
      </c>
      <c r="AP587" s="549">
        <f>7*AP582</f>
        <v>7</v>
      </c>
    </row>
    <row r="588" spans="1:42" s="549" customFormat="1" ht="12.75" customHeight="1">
      <c r="B588" s="609"/>
      <c r="C588" s="930"/>
      <c r="D588" s="662"/>
      <c r="E588" s="837" t="s">
        <v>1709</v>
      </c>
      <c r="F588" s="931"/>
      <c r="G588" s="931"/>
      <c r="H588" s="931"/>
      <c r="I588" s="931"/>
      <c r="J588" s="931"/>
      <c r="K588" s="931"/>
      <c r="L588" s="931"/>
      <c r="M588" s="931"/>
      <c r="N588" s="931"/>
      <c r="O588" s="931"/>
      <c r="P588" s="931"/>
      <c r="Q588" s="931"/>
      <c r="R588" s="931"/>
      <c r="S588" s="931"/>
      <c r="T588" s="931"/>
      <c r="U588" s="931"/>
      <c r="V588" s="931"/>
      <c r="W588" s="931"/>
      <c r="X588" s="931"/>
      <c r="Y588" s="931"/>
      <c r="Z588" s="931"/>
      <c r="AA588" s="931"/>
      <c r="AB588" s="931"/>
      <c r="AC588" s="535"/>
      <c r="AD588" s="535"/>
      <c r="AE588" s="535"/>
      <c r="AF588" s="535"/>
      <c r="AG588" s="535"/>
      <c r="AH588" s="535"/>
      <c r="AI588" s="535"/>
      <c r="AJ588" s="535"/>
      <c r="AK588" s="535"/>
      <c r="AL588" s="535"/>
      <c r="AN588" s="596"/>
      <c r="AO588" s="610" t="s">
        <v>510</v>
      </c>
      <c r="AP588" s="549">
        <v>6</v>
      </c>
    </row>
    <row r="589" spans="1:42" s="549" customFormat="1" ht="12.75" customHeight="1">
      <c r="B589" s="609"/>
      <c r="C589" s="930"/>
      <c r="D589" s="662"/>
      <c r="E589" s="837" t="s">
        <v>1708</v>
      </c>
      <c r="F589" s="931"/>
      <c r="G589" s="931"/>
      <c r="H589" s="931"/>
      <c r="I589" s="931"/>
      <c r="J589" s="931"/>
      <c r="K589" s="931"/>
      <c r="L589" s="931"/>
      <c r="M589" s="931"/>
      <c r="N589" s="931"/>
      <c r="O589" s="931"/>
      <c r="P589" s="931"/>
      <c r="Q589" s="931"/>
      <c r="R589" s="931"/>
      <c r="S589" s="931"/>
      <c r="T589" s="931"/>
      <c r="U589" s="931"/>
      <c r="V589" s="931"/>
      <c r="W589" s="931"/>
      <c r="X589" s="931"/>
      <c r="Y589" s="931"/>
      <c r="Z589" s="931"/>
      <c r="AA589" s="931"/>
      <c r="AB589" s="931"/>
      <c r="AC589" s="535"/>
      <c r="AD589" s="535"/>
      <c r="AE589" s="535"/>
      <c r="AF589" s="535"/>
      <c r="AG589" s="535"/>
      <c r="AH589" s="535"/>
      <c r="AI589" s="535"/>
      <c r="AJ589" s="535"/>
      <c r="AK589" s="535"/>
      <c r="AL589" s="535"/>
      <c r="AN589" s="596"/>
      <c r="AO589" s="610" t="s">
        <v>278</v>
      </c>
      <c r="AP589" s="549">
        <v>5</v>
      </c>
    </row>
    <row r="590" spans="1:42" s="549" customFormat="1" ht="12.75" customHeight="1">
      <c r="B590" s="609"/>
      <c r="C590" s="930"/>
      <c r="D590" s="662"/>
      <c r="E590" s="933"/>
      <c r="F590" s="934"/>
      <c r="G590" s="934"/>
      <c r="H590" s="934"/>
      <c r="I590" s="615"/>
      <c r="J590" s="615"/>
      <c r="K590" s="615"/>
      <c r="L590" s="615"/>
      <c r="M590" s="615"/>
      <c r="N590" s="615"/>
      <c r="O590" s="615"/>
      <c r="P590" s="615"/>
      <c r="Q590" s="615"/>
      <c r="R590" s="615"/>
      <c r="S590" s="615"/>
      <c r="T590" s="615"/>
      <c r="U590" s="615"/>
      <c r="V590" s="615"/>
      <c r="W590" s="615"/>
      <c r="X590" s="615"/>
      <c r="Y590" s="615"/>
      <c r="Z590" s="615"/>
      <c r="AA590" s="615"/>
      <c r="AB590" s="615"/>
      <c r="AC590" s="535"/>
      <c r="AD590" s="535"/>
      <c r="AE590" s="615"/>
      <c r="AF590" s="535"/>
      <c r="AG590" s="535"/>
      <c r="AH590" s="535"/>
      <c r="AI590" s="535"/>
      <c r="AJ590" s="535"/>
      <c r="AK590" s="535"/>
      <c r="AL590" s="535"/>
      <c r="AN590" s="596"/>
      <c r="AO590" s="610" t="s">
        <v>1398</v>
      </c>
      <c r="AP590" s="549">
        <v>4</v>
      </c>
    </row>
    <row r="591" spans="1:42" s="549" customFormat="1" ht="12.75" customHeight="1">
      <c r="B591" s="535"/>
      <c r="C591" s="930"/>
      <c r="D591" s="662" t="s">
        <v>278</v>
      </c>
      <c r="E591" s="837" t="s">
        <v>1710</v>
      </c>
      <c r="F591" s="931"/>
      <c r="G591" s="931"/>
      <c r="H591" s="931"/>
      <c r="I591" s="931"/>
      <c r="J591" s="931"/>
      <c r="K591" s="931"/>
      <c r="L591" s="931"/>
      <c r="M591" s="931"/>
      <c r="N591" s="931"/>
      <c r="O591" s="931"/>
      <c r="P591" s="931"/>
      <c r="Q591" s="931"/>
      <c r="R591" s="931"/>
      <c r="S591" s="931"/>
      <c r="T591" s="931"/>
      <c r="U591" s="931"/>
      <c r="V591" s="931"/>
      <c r="W591" s="931"/>
      <c r="X591" s="931"/>
      <c r="Y591" s="931"/>
      <c r="Z591" s="931"/>
      <c r="AA591" s="931"/>
      <c r="AB591" s="931"/>
      <c r="AC591" s="535"/>
      <c r="AD591" s="535"/>
      <c r="AE591" s="535"/>
      <c r="AF591" s="2454" t="s">
        <v>1379</v>
      </c>
      <c r="AG591" s="2454"/>
      <c r="AH591" s="2454"/>
      <c r="AI591" s="2454"/>
      <c r="AJ591" s="2454"/>
      <c r="AK591" s="2454"/>
      <c r="AL591" s="2454"/>
      <c r="AN591" s="596"/>
      <c r="AO591" s="610" t="s">
        <v>1399</v>
      </c>
      <c r="AP591" s="549">
        <v>3</v>
      </c>
    </row>
    <row r="592" spans="1:42" s="549" customFormat="1" ht="12.75" customHeight="1">
      <c r="B592" s="535"/>
      <c r="C592" s="932"/>
      <c r="D592" s="662"/>
      <c r="E592" s="837" t="s">
        <v>1706</v>
      </c>
      <c r="F592" s="931"/>
      <c r="G592" s="931"/>
      <c r="H592" s="931"/>
      <c r="I592" s="931"/>
      <c r="J592" s="931"/>
      <c r="K592" s="931"/>
      <c r="L592" s="931"/>
      <c r="M592" s="931"/>
      <c r="N592" s="931"/>
      <c r="O592" s="931"/>
      <c r="P592" s="931"/>
      <c r="Q592" s="931"/>
      <c r="R592" s="931"/>
      <c r="S592" s="931"/>
      <c r="T592" s="931"/>
      <c r="U592" s="931"/>
      <c r="V592" s="931"/>
      <c r="W592" s="931"/>
      <c r="X592" s="931"/>
      <c r="Y592" s="931"/>
      <c r="Z592" s="931"/>
      <c r="AA592" s="931"/>
      <c r="AB592" s="931"/>
      <c r="AC592" s="535"/>
      <c r="AD592" s="535"/>
      <c r="AE592" s="535"/>
      <c r="AF592" s="535"/>
      <c r="AG592" s="535"/>
      <c r="AH592" s="535"/>
      <c r="AI592" s="535"/>
      <c r="AJ592" s="535"/>
      <c r="AK592" s="535"/>
      <c r="AL592" s="535"/>
      <c r="AN592" s="596"/>
    </row>
    <row r="593" spans="1:53" s="549" customFormat="1" ht="12.75" customHeight="1">
      <c r="B593" s="535"/>
      <c r="C593" s="932"/>
      <c r="D593" s="662"/>
      <c r="E593" s="837" t="s">
        <v>1707</v>
      </c>
      <c r="F593" s="931"/>
      <c r="G593" s="931"/>
      <c r="H593" s="931"/>
      <c r="I593" s="931"/>
      <c r="J593" s="931"/>
      <c r="K593" s="931"/>
      <c r="L593" s="931"/>
      <c r="M593" s="931"/>
      <c r="N593" s="931"/>
      <c r="O593" s="931"/>
      <c r="P593" s="931"/>
      <c r="Q593" s="931"/>
      <c r="R593" s="931"/>
      <c r="S593" s="931"/>
      <c r="T593" s="931"/>
      <c r="U593" s="931"/>
      <c r="V593" s="931"/>
      <c r="W593" s="931"/>
      <c r="X593" s="931"/>
      <c r="Y593" s="931"/>
      <c r="Z593" s="931"/>
      <c r="AA593" s="931"/>
      <c r="AB593" s="931"/>
      <c r="AC593" s="535"/>
      <c r="AD593" s="535"/>
      <c r="AE593" s="535"/>
      <c r="AF593" s="535"/>
      <c r="AG593" s="535"/>
      <c r="AH593" s="535"/>
      <c r="AI593" s="535"/>
      <c r="AJ593" s="535"/>
      <c r="AK593" s="535"/>
      <c r="AL593" s="535"/>
      <c r="AN593" s="596"/>
      <c r="AO593" s="22" t="s">
        <v>2179</v>
      </c>
    </row>
    <row r="594" spans="1:53" s="549" customFormat="1" ht="12.75" customHeight="1">
      <c r="B594" s="535"/>
      <c r="C594" s="932"/>
      <c r="D594" s="662"/>
      <c r="E594" s="837" t="s">
        <v>1709</v>
      </c>
      <c r="F594" s="931"/>
      <c r="G594" s="931"/>
      <c r="H594" s="931"/>
      <c r="I594" s="931"/>
      <c r="J594" s="931"/>
      <c r="K594" s="931"/>
      <c r="L594" s="931"/>
      <c r="M594" s="931"/>
      <c r="N594" s="931"/>
      <c r="O594" s="931"/>
      <c r="P594" s="931"/>
      <c r="Q594" s="931"/>
      <c r="R594" s="931"/>
      <c r="S594" s="931"/>
      <c r="T594" s="931"/>
      <c r="U594" s="931"/>
      <c r="V594" s="931"/>
      <c r="W594" s="931"/>
      <c r="X594" s="931"/>
      <c r="Y594" s="931"/>
      <c r="Z594" s="931"/>
      <c r="AA594" s="931"/>
      <c r="AB594" s="931"/>
      <c r="AC594" s="535"/>
      <c r="AD594" s="535"/>
      <c r="AE594" s="535"/>
      <c r="AF594" s="535"/>
      <c r="AG594" s="535"/>
      <c r="AH594" s="535"/>
      <c r="AI594" s="535"/>
      <c r="AJ594" s="535"/>
      <c r="AK594" s="535"/>
      <c r="AL594" s="535"/>
      <c r="AN594" s="596"/>
      <c r="AO594" s="22" t="s">
        <v>2180</v>
      </c>
    </row>
    <row r="595" spans="1:53" s="549" customFormat="1" ht="12.75" customHeight="1">
      <c r="B595" s="535"/>
      <c r="C595" s="932"/>
      <c r="D595" s="662"/>
      <c r="E595" s="837" t="s">
        <v>1708</v>
      </c>
      <c r="F595" s="931"/>
      <c r="G595" s="931"/>
      <c r="H595" s="931"/>
      <c r="I595" s="931"/>
      <c r="J595" s="931"/>
      <c r="K595" s="931"/>
      <c r="L595" s="931"/>
      <c r="M595" s="931"/>
      <c r="N595" s="931"/>
      <c r="O595" s="931"/>
      <c r="P595" s="931"/>
      <c r="Q595" s="931"/>
      <c r="R595" s="931"/>
      <c r="S595" s="931"/>
      <c r="T595" s="931"/>
      <c r="U595" s="931"/>
      <c r="V595" s="931"/>
      <c r="W595" s="931"/>
      <c r="X595" s="931"/>
      <c r="Y595" s="931"/>
      <c r="Z595" s="931"/>
      <c r="AA595" s="931"/>
      <c r="AB595" s="931"/>
      <c r="AC595" s="535"/>
      <c r="AD595" s="535"/>
      <c r="AE595" s="535"/>
      <c r="AF595" s="535"/>
      <c r="AG595" s="535"/>
      <c r="AH595" s="535"/>
      <c r="AI595" s="535"/>
      <c r="AJ595" s="535"/>
      <c r="AK595" s="535"/>
      <c r="AL595" s="535"/>
      <c r="AN595" s="596"/>
      <c r="AO595" s="22" t="s">
        <v>2181</v>
      </c>
    </row>
    <row r="596" spans="1:53" s="549" customFormat="1" ht="12.75" customHeight="1">
      <c r="A596" s="14"/>
      <c r="B596" s="14"/>
      <c r="C596" s="14"/>
      <c r="D596" s="662"/>
      <c r="E596" s="673"/>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5"/>
      <c r="AD596" s="535"/>
      <c r="AE596" s="14"/>
      <c r="AF596" s="535"/>
      <c r="AG596" s="535"/>
      <c r="AH596" s="535"/>
      <c r="AI596" s="535"/>
      <c r="AJ596" s="535"/>
      <c r="AK596" s="535"/>
      <c r="AL596" s="535"/>
      <c r="AM596" s="14"/>
      <c r="AN596" s="596"/>
    </row>
    <row r="597" spans="1:53" s="549" customFormat="1" ht="12.75" customHeight="1">
      <c r="B597" s="535"/>
      <c r="C597" s="930"/>
      <c r="D597" s="662" t="s">
        <v>1398</v>
      </c>
      <c r="E597" s="837" t="s">
        <v>1711</v>
      </c>
      <c r="F597" s="931"/>
      <c r="G597" s="931"/>
      <c r="H597" s="931"/>
      <c r="I597" s="931"/>
      <c r="J597" s="931"/>
      <c r="K597" s="931"/>
      <c r="L597" s="931"/>
      <c r="M597" s="931"/>
      <c r="N597" s="931"/>
      <c r="O597" s="931"/>
      <c r="P597" s="931"/>
      <c r="Q597" s="931"/>
      <c r="R597" s="931"/>
      <c r="S597" s="931"/>
      <c r="T597" s="931"/>
      <c r="U597" s="931"/>
      <c r="V597" s="931"/>
      <c r="W597" s="931"/>
      <c r="X597" s="931"/>
      <c r="Y597" s="931"/>
      <c r="Z597" s="931"/>
      <c r="AA597" s="931"/>
      <c r="AB597" s="931"/>
      <c r="AC597" s="535"/>
      <c r="AD597" s="535"/>
      <c r="AE597" s="535"/>
      <c r="AF597" s="2454" t="s">
        <v>1400</v>
      </c>
      <c r="AG597" s="2454"/>
      <c r="AH597" s="2454"/>
      <c r="AI597" s="2454"/>
      <c r="AJ597" s="2454"/>
      <c r="AK597" s="2454"/>
      <c r="AL597" s="2454"/>
      <c r="AN597" s="596"/>
      <c r="AO597" s="549" t="str">
        <f>X634</f>
        <v>N/A</v>
      </c>
    </row>
    <row r="598" spans="1:53" s="549" customFormat="1" ht="12.75" customHeight="1">
      <c r="B598" s="535"/>
      <c r="C598" s="932"/>
      <c r="D598" s="662"/>
      <c r="E598" s="837" t="s">
        <v>1712</v>
      </c>
      <c r="F598" s="931"/>
      <c r="G598" s="931"/>
      <c r="H598" s="931"/>
      <c r="I598" s="931"/>
      <c r="J598" s="931"/>
      <c r="K598" s="931"/>
      <c r="L598" s="931"/>
      <c r="M598" s="931"/>
      <c r="N598" s="931"/>
      <c r="O598" s="931"/>
      <c r="P598" s="931"/>
      <c r="Q598" s="931"/>
      <c r="R598" s="931"/>
      <c r="S598" s="931"/>
      <c r="T598" s="931"/>
      <c r="U598" s="931"/>
      <c r="V598" s="931"/>
      <c r="W598" s="931"/>
      <c r="X598" s="931"/>
      <c r="Y598" s="931"/>
      <c r="Z598" s="931"/>
      <c r="AA598" s="931"/>
      <c r="AB598" s="931"/>
      <c r="AC598" s="14"/>
      <c r="AD598" s="14"/>
      <c r="AE598" s="535"/>
      <c r="AF598" s="535"/>
      <c r="AG598" s="535"/>
      <c r="AH598" s="535"/>
      <c r="AI598" s="535"/>
      <c r="AJ598" s="535"/>
      <c r="AK598" s="535"/>
      <c r="AL598" s="535"/>
      <c r="AN598" s="596"/>
      <c r="AU598" s="593"/>
      <c r="AV598" s="593"/>
      <c r="AW598" s="593"/>
      <c r="AX598" s="593"/>
      <c r="AY598" s="593"/>
      <c r="AZ598" s="593"/>
      <c r="BA598" s="593"/>
    </row>
    <row r="599" spans="1:53" s="549" customFormat="1" ht="12.75" customHeight="1">
      <c r="B599" s="609"/>
      <c r="C599" s="930"/>
      <c r="D599" s="662"/>
      <c r="E599" s="837" t="s">
        <v>1713</v>
      </c>
      <c r="F599" s="931"/>
      <c r="G599" s="931"/>
      <c r="H599" s="931"/>
      <c r="I599" s="931"/>
      <c r="J599" s="931"/>
      <c r="K599" s="931"/>
      <c r="L599" s="931"/>
      <c r="M599" s="931"/>
      <c r="N599" s="931"/>
      <c r="O599" s="931"/>
      <c r="P599" s="931"/>
      <c r="Q599" s="931"/>
      <c r="R599" s="931"/>
      <c r="S599" s="931"/>
      <c r="T599" s="931"/>
      <c r="U599" s="931"/>
      <c r="V599" s="931"/>
      <c r="W599" s="931"/>
      <c r="X599" s="931"/>
      <c r="Y599" s="931"/>
      <c r="Z599" s="931"/>
      <c r="AA599" s="931"/>
      <c r="AB599" s="931"/>
      <c r="AC599" s="535"/>
      <c r="AD599" s="535"/>
      <c r="AE599" s="535"/>
      <c r="AF599" s="535"/>
      <c r="AG599" s="535"/>
      <c r="AH599" s="535"/>
      <c r="AI599" s="535"/>
      <c r="AJ599" s="535"/>
      <c r="AK599" s="535"/>
      <c r="AL599" s="535"/>
      <c r="AN599" s="596"/>
      <c r="AO599" s="22" t="s">
        <v>2182</v>
      </c>
    </row>
    <row r="600" spans="1:53" s="549" customFormat="1" ht="12.75" customHeight="1">
      <c r="B600" s="609"/>
      <c r="C600" s="930"/>
      <c r="D600" s="662"/>
      <c r="E600" s="837"/>
      <c r="F600" s="931"/>
      <c r="G600" s="931"/>
      <c r="H600" s="931"/>
      <c r="I600" s="931"/>
      <c r="J600" s="931"/>
      <c r="K600" s="931"/>
      <c r="L600" s="931"/>
      <c r="M600" s="931"/>
      <c r="N600" s="931"/>
      <c r="O600" s="931"/>
      <c r="P600" s="931"/>
      <c r="Q600" s="931"/>
      <c r="R600" s="931"/>
      <c r="S600" s="931"/>
      <c r="T600" s="931"/>
      <c r="U600" s="931"/>
      <c r="V600" s="931"/>
      <c r="W600" s="931"/>
      <c r="X600" s="931"/>
      <c r="Y600" s="931"/>
      <c r="Z600" s="931"/>
      <c r="AA600" s="931"/>
      <c r="AB600" s="931"/>
      <c r="AC600" s="535"/>
      <c r="AD600" s="535"/>
      <c r="AE600" s="535"/>
      <c r="AF600" s="535"/>
      <c r="AG600" s="535"/>
      <c r="AH600" s="535"/>
      <c r="AI600" s="535"/>
      <c r="AJ600" s="535"/>
      <c r="AK600" s="535"/>
      <c r="AL600" s="535"/>
      <c r="AN600" s="596"/>
      <c r="AO600" s="22" t="s">
        <v>2183</v>
      </c>
    </row>
    <row r="601" spans="1:53" s="549" customFormat="1" ht="12.75" customHeight="1">
      <c r="B601" s="609"/>
      <c r="C601" s="930"/>
      <c r="D601" s="662"/>
      <c r="E601" s="535" t="s">
        <v>1867</v>
      </c>
      <c r="O601" s="2540" t="s">
        <v>1185</v>
      </c>
      <c r="P601" s="2540"/>
      <c r="Q601" s="2540"/>
      <c r="R601" s="2540"/>
      <c r="S601" s="2540"/>
      <c r="T601" s="2540"/>
      <c r="U601" s="2540"/>
      <c r="V601" s="2540"/>
      <c r="W601" s="2540"/>
      <c r="X601" s="2540"/>
      <c r="Y601" s="2540"/>
      <c r="Z601" s="2540"/>
      <c r="AA601" s="2540"/>
      <c r="AB601" s="2540"/>
      <c r="AH601" s="535"/>
      <c r="AI601" s="535"/>
      <c r="AJ601" s="535"/>
      <c r="AK601" s="535"/>
      <c r="AL601" s="535"/>
      <c r="AN601" s="596"/>
    </row>
    <row r="602" spans="1:53" s="549" customFormat="1" ht="12.75" customHeight="1">
      <c r="B602" s="609"/>
      <c r="C602" s="930"/>
      <c r="D602" s="662"/>
      <c r="E602" s="837"/>
      <c r="F602" s="931"/>
      <c r="G602" s="931"/>
      <c r="H602" s="931"/>
      <c r="I602" s="931"/>
      <c r="J602" s="931"/>
      <c r="K602" s="931"/>
      <c r="L602" s="931"/>
      <c r="M602" s="931"/>
      <c r="N602" s="931"/>
      <c r="O602" s="931"/>
      <c r="P602" s="931"/>
      <c r="Q602" s="931"/>
      <c r="R602" s="931"/>
      <c r="S602" s="931"/>
      <c r="T602" s="931"/>
      <c r="U602" s="931"/>
      <c r="V602" s="931"/>
      <c r="W602" s="931"/>
      <c r="X602" s="931"/>
      <c r="Y602" s="931"/>
      <c r="Z602" s="931"/>
      <c r="AA602" s="931"/>
      <c r="AB602" s="931"/>
      <c r="AC602" s="535"/>
      <c r="AD602" s="535"/>
      <c r="AE602" s="535"/>
      <c r="AF602" s="535"/>
      <c r="AG602" s="535"/>
      <c r="AH602" s="535"/>
      <c r="AI602" s="535"/>
      <c r="AJ602" s="535"/>
      <c r="AK602" s="535"/>
      <c r="AL602" s="535"/>
      <c r="AN602" s="596"/>
    </row>
    <row r="603" spans="1:53" s="549" customFormat="1" ht="12.75" customHeight="1">
      <c r="B603" s="535"/>
      <c r="C603" s="930"/>
      <c r="D603" s="662" t="s">
        <v>1399</v>
      </c>
      <c r="E603" s="837" t="s">
        <v>1715</v>
      </c>
      <c r="F603" s="931"/>
      <c r="G603" s="931"/>
      <c r="H603" s="931"/>
      <c r="I603" s="931"/>
      <c r="J603" s="931"/>
      <c r="K603" s="931"/>
      <c r="L603" s="931"/>
      <c r="M603" s="931"/>
      <c r="N603" s="931"/>
      <c r="O603" s="931"/>
      <c r="P603" s="931"/>
      <c r="Q603" s="931"/>
      <c r="R603" s="931"/>
      <c r="S603" s="931"/>
      <c r="T603" s="931"/>
      <c r="U603" s="931"/>
      <c r="V603" s="931"/>
      <c r="W603" s="931"/>
      <c r="X603" s="931"/>
      <c r="Y603" s="931"/>
      <c r="Z603" s="931"/>
      <c r="AA603" s="931"/>
      <c r="AB603" s="931"/>
      <c r="AC603" s="535"/>
      <c r="AD603" s="535"/>
      <c r="AE603" s="535"/>
      <c r="AF603" s="2454" t="s">
        <v>1353</v>
      </c>
      <c r="AG603" s="2454"/>
      <c r="AH603" s="2454"/>
      <c r="AI603" s="2454"/>
      <c r="AJ603" s="2454"/>
      <c r="AK603" s="2454"/>
      <c r="AL603" s="2454"/>
      <c r="AN603" s="596"/>
    </row>
    <row r="604" spans="1:53" s="549" customFormat="1" ht="12.75" customHeight="1">
      <c r="B604" s="535"/>
      <c r="C604" s="930"/>
      <c r="D604" s="662"/>
      <c r="E604" s="837" t="s">
        <v>1714</v>
      </c>
      <c r="F604" s="931"/>
      <c r="G604" s="931"/>
      <c r="H604" s="931"/>
      <c r="I604" s="931"/>
      <c r="J604" s="931"/>
      <c r="K604" s="931"/>
      <c r="L604" s="931"/>
      <c r="M604" s="931"/>
      <c r="N604" s="931"/>
      <c r="O604" s="931"/>
      <c r="P604" s="931"/>
      <c r="Q604" s="931"/>
      <c r="R604" s="931"/>
      <c r="S604" s="931"/>
      <c r="T604" s="931"/>
      <c r="U604" s="931"/>
      <c r="V604" s="931"/>
      <c r="W604" s="931"/>
      <c r="X604" s="931"/>
      <c r="Y604" s="931"/>
      <c r="Z604" s="931"/>
      <c r="AA604" s="931"/>
      <c r="AB604" s="931"/>
      <c r="AC604" s="535"/>
      <c r="AD604" s="535"/>
      <c r="AE604" s="593"/>
      <c r="AF604" s="535"/>
      <c r="AG604" s="535"/>
      <c r="AH604" s="535"/>
      <c r="AI604" s="535"/>
      <c r="AJ604" s="535"/>
      <c r="AK604" s="535"/>
      <c r="AL604" s="535"/>
      <c r="AN604" s="596"/>
    </row>
    <row r="605" spans="1:53" s="549" customFormat="1" ht="12.75" customHeight="1">
      <c r="B605" s="535"/>
      <c r="C605" s="932"/>
      <c r="D605" s="535"/>
      <c r="E605" s="615"/>
      <c r="F605" s="935"/>
      <c r="G605" s="935"/>
      <c r="H605" s="935"/>
      <c r="I605" s="935"/>
      <c r="J605" s="935"/>
      <c r="K605" s="935"/>
      <c r="L605" s="935"/>
      <c r="M605" s="935"/>
      <c r="N605" s="935"/>
      <c r="O605" s="935"/>
      <c r="P605" s="935"/>
      <c r="Q605" s="935"/>
      <c r="R605" s="935"/>
      <c r="S605" s="935"/>
      <c r="T605" s="935"/>
      <c r="U605" s="935"/>
      <c r="V605" s="935"/>
      <c r="W605" s="935"/>
      <c r="X605" s="935"/>
      <c r="Y605" s="935"/>
      <c r="Z605" s="935"/>
      <c r="AA605" s="935"/>
      <c r="AB605" s="935"/>
      <c r="AC605" s="535"/>
      <c r="AD605" s="535"/>
      <c r="AE605" s="535"/>
      <c r="AF605" s="535"/>
      <c r="AG605" s="535"/>
      <c r="AH605" s="535"/>
      <c r="AI605" s="535"/>
      <c r="AJ605" s="535"/>
      <c r="AK605" s="535"/>
      <c r="AL605" s="535"/>
      <c r="AN605" s="596"/>
      <c r="AO605" s="549" t="s">
        <v>592</v>
      </c>
      <c r="AP605" s="672">
        <v>0</v>
      </c>
      <c r="AT605" s="549" t="s">
        <v>592</v>
      </c>
      <c r="AU605" s="672">
        <v>0</v>
      </c>
    </row>
    <row r="606" spans="1:53" s="549" customFormat="1" ht="12.75" customHeight="1">
      <c r="B606" s="535"/>
      <c r="C606" s="932"/>
      <c r="D606" s="535" t="s">
        <v>1401</v>
      </c>
      <c r="E606" s="935"/>
      <c r="F606" s="935"/>
      <c r="G606" s="935"/>
      <c r="H606" s="2538" t="s">
        <v>688</v>
      </c>
      <c r="I606" s="2538"/>
      <c r="J606" s="935"/>
      <c r="K606" s="935"/>
      <c r="L606" s="935"/>
      <c r="N606" s="22"/>
      <c r="O606" s="22"/>
      <c r="P606" s="22"/>
      <c r="Q606" s="1150" t="s">
        <v>2178</v>
      </c>
      <c r="R606" s="2541"/>
      <c r="S606" s="2541"/>
      <c r="T606" s="2541"/>
      <c r="U606" s="2541"/>
      <c r="V606" s="2541"/>
      <c r="W606" s="2541"/>
      <c r="X606" s="535"/>
      <c r="Y606" s="535"/>
      <c r="Z606" s="535"/>
      <c r="AA606" s="535"/>
      <c r="AB606" s="535"/>
      <c r="AC606" s="535"/>
      <c r="AD606" s="535"/>
      <c r="AE606" s="535"/>
      <c r="AF606" s="535"/>
      <c r="AG606" s="535"/>
      <c r="AH606" s="535"/>
      <c r="AI606" s="535"/>
      <c r="AJ606" s="535"/>
      <c r="AK606" s="535"/>
      <c r="AL606" s="535"/>
      <c r="AN606" s="596"/>
      <c r="AO606" s="610" t="s">
        <v>688</v>
      </c>
      <c r="AP606" s="549">
        <v>3</v>
      </c>
      <c r="AT606" s="610" t="s">
        <v>688</v>
      </c>
      <c r="AU606" s="549">
        <v>3</v>
      </c>
    </row>
    <row r="607" spans="1:53" s="549" customFormat="1" ht="12.75" customHeight="1">
      <c r="B607" s="535"/>
      <c r="C607" s="932"/>
      <c r="D607" s="535"/>
      <c r="E607" s="935"/>
      <c r="F607" s="935"/>
      <c r="G607" s="935"/>
      <c r="H607" s="935"/>
      <c r="I607" s="935"/>
      <c r="J607" s="935"/>
      <c r="K607" s="935"/>
      <c r="L607" s="935"/>
      <c r="M607" s="935"/>
      <c r="N607" s="535"/>
      <c r="O607" s="535"/>
      <c r="P607" s="535"/>
      <c r="Q607" s="535"/>
      <c r="R607" s="535"/>
      <c r="S607" s="535"/>
      <c r="T607" s="535"/>
      <c r="U607" s="535"/>
      <c r="V607" s="535"/>
      <c r="W607" s="535"/>
      <c r="X607" s="535"/>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6"/>
      <c r="AO607" s="610" t="s">
        <v>510</v>
      </c>
      <c r="AP607" s="549">
        <v>2</v>
      </c>
      <c r="AT607" s="610" t="s">
        <v>510</v>
      </c>
      <c r="AU607" s="549">
        <v>2</v>
      </c>
    </row>
    <row r="608" spans="1:53" s="549" customFormat="1" ht="12.75" customHeight="1">
      <c r="B608" s="535"/>
      <c r="C608" s="932"/>
      <c r="D608" s="535"/>
      <c r="E608" s="935"/>
      <c r="F608" s="935"/>
      <c r="G608" s="935"/>
      <c r="H608" s="935"/>
      <c r="I608" s="935"/>
      <c r="J608" s="935"/>
      <c r="K608" s="935"/>
      <c r="L608" s="935"/>
      <c r="M608" s="935"/>
      <c r="N608" s="535"/>
      <c r="O608" s="535"/>
      <c r="P608" s="535"/>
      <c r="Q608" s="535"/>
      <c r="X608" s="535"/>
      <c r="Y608" s="2542"/>
      <c r="Z608" s="2542"/>
      <c r="AA608" s="2542"/>
      <c r="AB608" s="2542"/>
      <c r="AC608" s="2542"/>
      <c r="AD608" s="2542"/>
      <c r="AE608" s="2542"/>
      <c r="AF608" s="2542"/>
      <c r="AG608" s="2542"/>
      <c r="AH608" s="2542"/>
      <c r="AI608" s="2542"/>
      <c r="AJ608" s="2542"/>
      <c r="AK608" s="2542"/>
      <c r="AL608" s="2542"/>
      <c r="AM608" s="2543"/>
      <c r="AN608" s="596"/>
      <c r="AO608" s="610"/>
      <c r="AT608" s="610"/>
    </row>
    <row r="609" spans="1:42" s="549" customFormat="1" ht="12.75" customHeight="1">
      <c r="B609" s="535"/>
      <c r="C609" s="932"/>
      <c r="D609" s="535" t="s">
        <v>1716</v>
      </c>
      <c r="E609" s="935"/>
      <c r="F609" s="935"/>
      <c r="G609" s="935"/>
      <c r="H609" s="935"/>
      <c r="I609" s="935"/>
      <c r="J609" s="935"/>
      <c r="K609" s="935"/>
      <c r="L609" s="935"/>
      <c r="M609" s="935"/>
      <c r="N609" s="535"/>
      <c r="O609" s="535"/>
      <c r="P609" s="535"/>
      <c r="Q609" s="535"/>
      <c r="R609" s="535"/>
      <c r="S609" s="535"/>
      <c r="T609" s="535"/>
      <c r="U609" s="535"/>
      <c r="V609" s="535"/>
      <c r="W609" s="535"/>
      <c r="X609" s="535"/>
      <c r="Y609" s="535"/>
      <c r="Z609" s="535"/>
      <c r="AA609" s="535"/>
      <c r="AB609" s="535"/>
      <c r="AC609" s="535"/>
      <c r="AD609" s="535"/>
      <c r="AE609" s="535"/>
      <c r="AF609" s="535"/>
      <c r="AG609" s="535"/>
      <c r="AH609" s="535"/>
      <c r="AI609" s="535"/>
      <c r="AJ609" s="535"/>
      <c r="AK609" s="535"/>
      <c r="AL609" s="535"/>
      <c r="AN609" s="596"/>
    </row>
    <row r="610" spans="1:42" s="549" customFormat="1" ht="12.75" customHeight="1">
      <c r="B610" s="535"/>
      <c r="C610" s="932"/>
      <c r="D610" s="535" t="s">
        <v>1717</v>
      </c>
      <c r="E610" s="935"/>
      <c r="F610" s="935"/>
      <c r="G610" s="935"/>
      <c r="H610" s="935"/>
      <c r="I610" s="935"/>
      <c r="J610" s="935"/>
      <c r="K610" s="935"/>
      <c r="L610" s="935"/>
      <c r="M610" s="935"/>
      <c r="N610" s="535"/>
      <c r="O610" s="535"/>
      <c r="P610" s="535"/>
      <c r="Q610" s="535"/>
      <c r="R610" s="535"/>
      <c r="S610" s="535"/>
      <c r="T610" s="535"/>
      <c r="U610" s="535"/>
      <c r="V610" s="535"/>
      <c r="W610" s="535"/>
      <c r="X610" s="535"/>
      <c r="Y610" s="535"/>
      <c r="Z610" s="535"/>
      <c r="AA610" s="535"/>
      <c r="AB610" s="535"/>
      <c r="AC610" s="535"/>
      <c r="AD610" s="535"/>
      <c r="AE610" s="535"/>
      <c r="AF610" s="535"/>
      <c r="AG610" s="535"/>
      <c r="AH610" s="535"/>
      <c r="AI610" s="535"/>
      <c r="AJ610" s="535"/>
      <c r="AK610" s="535"/>
      <c r="AL610" s="535"/>
      <c r="AN610" s="596"/>
    </row>
    <row r="611" spans="1:42" s="549" customFormat="1" ht="12.75" customHeight="1">
      <c r="B611" s="535"/>
      <c r="C611" s="932"/>
      <c r="D611" s="535" t="s">
        <v>1718</v>
      </c>
      <c r="E611" s="935"/>
      <c r="F611" s="935"/>
      <c r="G611" s="935"/>
      <c r="H611" s="935"/>
      <c r="I611" s="935"/>
      <c r="J611" s="935"/>
      <c r="K611" s="935"/>
      <c r="L611" s="935"/>
      <c r="M611" s="935"/>
      <c r="N611" s="535"/>
      <c r="O611" s="535"/>
      <c r="P611" s="535"/>
      <c r="Q611" s="535"/>
      <c r="R611" s="535"/>
      <c r="S611" s="535"/>
      <c r="T611" s="535"/>
      <c r="U611" s="535"/>
      <c r="V611" s="535"/>
      <c r="W611" s="535"/>
      <c r="X611" s="535"/>
      <c r="Y611" s="535"/>
      <c r="Z611" s="535"/>
      <c r="AA611" s="535"/>
      <c r="AB611" s="535"/>
      <c r="AC611" s="535"/>
      <c r="AD611" s="535"/>
      <c r="AE611" s="535"/>
      <c r="AF611" s="535"/>
      <c r="AG611" s="535"/>
      <c r="AH611" s="535"/>
      <c r="AI611" s="535"/>
      <c r="AJ611" s="535"/>
      <c r="AK611" s="535"/>
      <c r="AL611" s="535"/>
      <c r="AN611" s="596"/>
    </row>
    <row r="612" spans="1:42" s="549" customFormat="1" ht="12.75" customHeight="1">
      <c r="B612" s="535"/>
      <c r="C612" s="932"/>
      <c r="D612" s="604" t="s">
        <v>1719</v>
      </c>
      <c r="E612" s="935"/>
      <c r="F612" s="935"/>
      <c r="G612" s="935"/>
      <c r="H612" s="935"/>
      <c r="I612" s="935"/>
      <c r="J612" s="935"/>
      <c r="K612" s="935"/>
      <c r="L612" s="935"/>
      <c r="M612" s="935"/>
      <c r="N612" s="535"/>
      <c r="O612" s="535"/>
      <c r="P612" s="535"/>
      <c r="Q612" s="535"/>
      <c r="R612" s="535"/>
      <c r="S612" s="535"/>
      <c r="T612" s="535"/>
      <c r="U612" s="535"/>
      <c r="V612" s="535"/>
      <c r="W612" s="535"/>
      <c r="X612" s="535"/>
      <c r="Y612" s="535"/>
      <c r="Z612" s="535"/>
      <c r="AA612" s="535"/>
      <c r="AB612" s="535"/>
      <c r="AC612" s="535"/>
      <c r="AD612" s="535"/>
      <c r="AE612" s="535"/>
      <c r="AF612" s="535"/>
      <c r="AG612" s="535"/>
      <c r="AH612" s="535"/>
      <c r="AI612" s="535"/>
      <c r="AJ612" s="535"/>
      <c r="AK612" s="535"/>
      <c r="AL612" s="535"/>
      <c r="AN612" s="596"/>
    </row>
    <row r="613" spans="1:42" s="549" customFormat="1" ht="12.75" customHeight="1">
      <c r="B613" s="535"/>
      <c r="C613" s="932"/>
      <c r="D613" s="535"/>
      <c r="E613" s="535"/>
      <c r="F613" s="535"/>
      <c r="G613" s="535"/>
      <c r="H613" s="535"/>
      <c r="I613" s="535"/>
      <c r="J613" s="535"/>
      <c r="K613" s="535"/>
      <c r="L613" s="535"/>
      <c r="M613" s="535"/>
      <c r="N613" s="535"/>
      <c r="O613" s="535"/>
      <c r="P613" s="535"/>
      <c r="Q613" s="535"/>
      <c r="R613" s="535"/>
      <c r="S613" s="535"/>
      <c r="T613" s="535"/>
      <c r="U613" s="535"/>
      <c r="V613" s="535"/>
      <c r="W613" s="535"/>
      <c r="X613" s="535"/>
      <c r="Y613" s="535"/>
      <c r="Z613" s="535"/>
      <c r="AA613" s="535"/>
      <c r="AB613" s="535"/>
      <c r="AC613" s="535"/>
      <c r="AD613" s="535"/>
      <c r="AE613" s="535"/>
      <c r="AF613" s="535"/>
      <c r="AG613" s="535"/>
      <c r="AH613" s="535"/>
      <c r="AI613" s="535"/>
      <c r="AJ613" s="535"/>
      <c r="AK613" s="535"/>
      <c r="AL613" s="535"/>
      <c r="AN613" s="596"/>
      <c r="AO613" s="549" t="s">
        <v>592</v>
      </c>
      <c r="AP613" s="672">
        <v>0</v>
      </c>
    </row>
    <row r="614" spans="1:42" s="549" customFormat="1" ht="12.75" customHeight="1">
      <c r="B614" s="535"/>
      <c r="C614" s="932"/>
      <c r="D614" s="535"/>
      <c r="E614" s="535" t="s">
        <v>1401</v>
      </c>
      <c r="F614" s="935"/>
      <c r="G614" s="935"/>
      <c r="I614" s="2539" t="s">
        <v>592</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5"/>
      <c r="AG614" s="535"/>
      <c r="AH614" s="535"/>
      <c r="AI614" s="535"/>
      <c r="AJ614" s="535"/>
      <c r="AK614" s="535"/>
      <c r="AL614" s="535"/>
      <c r="AN614" s="596"/>
      <c r="AO614" s="549" t="s">
        <v>1402</v>
      </c>
      <c r="AP614" s="549">
        <v>3</v>
      </c>
    </row>
    <row r="615" spans="1:42" s="549" customFormat="1" ht="12.75" customHeight="1">
      <c r="B615" s="535"/>
      <c r="C615" s="535"/>
      <c r="D615" s="535"/>
      <c r="E615" s="535"/>
      <c r="F615" s="641"/>
      <c r="G615" s="641"/>
      <c r="H615" s="641"/>
      <c r="I615" s="641"/>
      <c r="J615" s="641"/>
      <c r="K615" s="641"/>
      <c r="L615" s="641"/>
      <c r="M615" s="641"/>
      <c r="N615" s="641"/>
      <c r="O615" s="641"/>
      <c r="P615" s="641"/>
      <c r="Q615" s="641"/>
      <c r="R615" s="641"/>
      <c r="S615" s="641"/>
      <c r="T615" s="641"/>
      <c r="U615" s="641"/>
      <c r="V615" s="641"/>
      <c r="W615" s="641"/>
      <c r="X615" s="641"/>
      <c r="Y615" s="641"/>
      <c r="Z615" s="641"/>
      <c r="AA615" s="641"/>
      <c r="AB615" s="641"/>
      <c r="AC615" s="641"/>
      <c r="AD615" s="641"/>
      <c r="AE615" s="641"/>
      <c r="AF615" s="641"/>
      <c r="AG615" s="641"/>
      <c r="AH615" s="641"/>
      <c r="AI615" s="641"/>
      <c r="AJ615" s="641"/>
      <c r="AK615" s="641"/>
      <c r="AL615" s="641"/>
      <c r="AN615" s="596"/>
      <c r="AO615" s="549" t="s">
        <v>1403</v>
      </c>
      <c r="AP615" s="549">
        <v>2</v>
      </c>
    </row>
    <row r="616" spans="1:42" s="549" customFormat="1" ht="12.75" customHeight="1">
      <c r="B616" s="2482" t="s">
        <v>592</v>
      </c>
      <c r="C616" s="2482"/>
      <c r="D616" s="641"/>
      <c r="E616" s="2509" t="s">
        <v>1404</v>
      </c>
      <c r="F616" s="2509"/>
      <c r="G616" s="2509"/>
      <c r="H616" s="2509"/>
      <c r="I616" s="2509"/>
      <c r="J616" s="2509"/>
      <c r="K616" s="2509"/>
      <c r="L616" s="2509"/>
      <c r="M616" s="2509"/>
      <c r="N616" s="2509"/>
      <c r="O616" s="2509"/>
      <c r="P616" s="2509"/>
      <c r="Q616" s="2509"/>
      <c r="R616" s="2509"/>
      <c r="S616" s="2509"/>
      <c r="T616" s="2509"/>
      <c r="U616" s="2509"/>
      <c r="V616" s="2509"/>
      <c r="W616" s="2509"/>
      <c r="X616" s="2509"/>
      <c r="Y616" s="2509"/>
      <c r="Z616" s="2509"/>
      <c r="AA616" s="2509"/>
      <c r="AB616" s="2509"/>
      <c r="AC616" s="2509"/>
      <c r="AD616" s="2509"/>
      <c r="AE616" s="2509"/>
      <c r="AF616" s="2509"/>
      <c r="AG616" s="2509"/>
      <c r="AH616" s="641"/>
      <c r="AI616" s="641"/>
      <c r="AJ616" s="641"/>
      <c r="AK616" s="641"/>
      <c r="AL616" s="641"/>
      <c r="AN616" s="596"/>
    </row>
    <row r="617" spans="1:42" s="549" customFormat="1" ht="12.75" customHeight="1">
      <c r="B617" s="535"/>
      <c r="C617" s="932"/>
      <c r="D617" s="641"/>
      <c r="E617" s="2509"/>
      <c r="F617" s="2509"/>
      <c r="G617" s="2509"/>
      <c r="H617" s="2509"/>
      <c r="I617" s="2509"/>
      <c r="J617" s="2509"/>
      <c r="K617" s="2509"/>
      <c r="L617" s="2509"/>
      <c r="M617" s="2509"/>
      <c r="N617" s="2509"/>
      <c r="O617" s="2509"/>
      <c r="P617" s="2509"/>
      <c r="Q617" s="2509"/>
      <c r="R617" s="2509"/>
      <c r="S617" s="2509"/>
      <c r="T617" s="2509"/>
      <c r="U617" s="2509"/>
      <c r="V617" s="2509"/>
      <c r="W617" s="2509"/>
      <c r="X617" s="2509"/>
      <c r="Y617" s="2509"/>
      <c r="Z617" s="2509"/>
      <c r="AA617" s="2509"/>
      <c r="AB617" s="2509"/>
      <c r="AC617" s="2509"/>
      <c r="AD617" s="2509"/>
      <c r="AE617" s="2509"/>
      <c r="AF617" s="2509"/>
      <c r="AG617" s="2509"/>
      <c r="AH617" s="641"/>
      <c r="AI617" s="641"/>
      <c r="AJ617" s="641"/>
      <c r="AK617" s="641"/>
      <c r="AL617" s="641"/>
      <c r="AN617" s="596"/>
    </row>
    <row r="618" spans="1:42" s="549" customFormat="1" ht="12.75" customHeight="1">
      <c r="B618" s="535"/>
      <c r="C618" s="932"/>
      <c r="D618" s="641"/>
      <c r="E618" s="2509"/>
      <c r="F618" s="2509"/>
      <c r="G618" s="2509"/>
      <c r="H618" s="2509"/>
      <c r="I618" s="2509"/>
      <c r="J618" s="2509"/>
      <c r="K618" s="2509"/>
      <c r="L618" s="2509"/>
      <c r="M618" s="2509"/>
      <c r="N618" s="2509"/>
      <c r="O618" s="2509"/>
      <c r="P618" s="2509"/>
      <c r="Q618" s="2509"/>
      <c r="R618" s="2509"/>
      <c r="S618" s="2509"/>
      <c r="T618" s="2509"/>
      <c r="U618" s="2509"/>
      <c r="V618" s="2509"/>
      <c r="W618" s="2509"/>
      <c r="X618" s="2509"/>
      <c r="Y618" s="2509"/>
      <c r="Z618" s="2509"/>
      <c r="AA618" s="2509"/>
      <c r="AB618" s="2509"/>
      <c r="AC618" s="2509"/>
      <c r="AD618" s="2509"/>
      <c r="AE618" s="2509"/>
      <c r="AF618" s="2509"/>
      <c r="AG618" s="2509"/>
      <c r="AH618" s="641"/>
      <c r="AI618" s="641"/>
      <c r="AJ618" s="641"/>
      <c r="AK618" s="641"/>
      <c r="AL618" s="641"/>
      <c r="AN618" s="596"/>
    </row>
    <row r="619" spans="1:42" s="549" customFormat="1" ht="12.75" customHeight="1">
      <c r="B619" s="535"/>
      <c r="C619" s="932"/>
      <c r="D619" s="641"/>
      <c r="E619" s="2509"/>
      <c r="F619" s="2509"/>
      <c r="G619" s="2509"/>
      <c r="H619" s="2509"/>
      <c r="I619" s="2509"/>
      <c r="J619" s="2509"/>
      <c r="K619" s="2509"/>
      <c r="L619" s="2509"/>
      <c r="M619" s="2509"/>
      <c r="N619" s="2509"/>
      <c r="O619" s="2509"/>
      <c r="P619" s="2509"/>
      <c r="Q619" s="2509"/>
      <c r="R619" s="2509"/>
      <c r="S619" s="2509"/>
      <c r="T619" s="2509"/>
      <c r="U619" s="2509"/>
      <c r="V619" s="2509"/>
      <c r="W619" s="2509"/>
      <c r="X619" s="2509"/>
      <c r="Y619" s="2509"/>
      <c r="Z619" s="2509"/>
      <c r="AA619" s="2509"/>
      <c r="AB619" s="2509"/>
      <c r="AC619" s="2509"/>
      <c r="AD619" s="2509"/>
      <c r="AE619" s="2509"/>
      <c r="AF619" s="2509"/>
      <c r="AG619" s="2509"/>
      <c r="AH619" s="641"/>
      <c r="AI619" s="641"/>
      <c r="AJ619" s="641"/>
      <c r="AK619" s="641"/>
      <c r="AL619" s="641"/>
      <c r="AN619" s="596"/>
    </row>
    <row r="620" spans="1:42" s="549" customFormat="1" ht="12.75" customHeight="1">
      <c r="B620" s="535"/>
      <c r="C620" s="932"/>
      <c r="D620" s="936"/>
      <c r="E620" s="956"/>
      <c r="F620" s="956"/>
      <c r="G620" s="956"/>
      <c r="H620" s="956"/>
      <c r="I620" s="956"/>
      <c r="J620" s="956"/>
      <c r="K620" s="956"/>
      <c r="L620" s="956"/>
      <c r="M620" s="956"/>
      <c r="N620" s="956"/>
      <c r="O620" s="956"/>
      <c r="P620" s="956"/>
      <c r="Q620" s="956"/>
      <c r="R620" s="956"/>
      <c r="S620" s="956"/>
      <c r="T620" s="956"/>
      <c r="U620" s="956"/>
      <c r="V620" s="956"/>
      <c r="W620" s="956"/>
      <c r="X620" s="956"/>
      <c r="Y620" s="956"/>
      <c r="Z620" s="956"/>
      <c r="AA620" s="956"/>
      <c r="AB620" s="956"/>
      <c r="AC620" s="956"/>
      <c r="AD620" s="956"/>
      <c r="AE620" s="956"/>
      <c r="AF620" s="956"/>
      <c r="AG620" s="956"/>
      <c r="AH620" s="936"/>
      <c r="AI620" s="936"/>
      <c r="AJ620" s="936"/>
      <c r="AK620" s="936"/>
      <c r="AL620" s="641"/>
      <c r="AN620" s="596"/>
    </row>
    <row r="621" spans="1:42" s="549" customFormat="1" ht="12.75" customHeight="1">
      <c r="A621" s="605"/>
      <c r="B621" s="600"/>
      <c r="C621" s="937"/>
      <c r="D621" s="600"/>
      <c r="E621" s="938"/>
      <c r="F621" s="938"/>
      <c r="G621" s="938"/>
      <c r="H621" s="938"/>
      <c r="I621" s="938"/>
      <c r="J621" s="938"/>
      <c r="K621" s="938"/>
      <c r="L621" s="938"/>
      <c r="M621" s="938"/>
      <c r="N621" s="938"/>
      <c r="O621" s="938"/>
      <c r="P621" s="938"/>
      <c r="Q621" s="938"/>
      <c r="R621" s="938"/>
      <c r="S621" s="938"/>
      <c r="T621" s="938"/>
      <c r="U621" s="938"/>
      <c r="V621" s="938"/>
      <c r="W621" s="938"/>
      <c r="X621" s="938"/>
      <c r="Y621" s="938"/>
      <c r="Z621" s="938"/>
      <c r="AA621" s="938"/>
      <c r="AB621" s="600"/>
      <c r="AC621" s="600"/>
      <c r="AD621" s="600"/>
      <c r="AE621" s="600"/>
      <c r="AF621" s="600"/>
      <c r="AG621" s="600"/>
      <c r="AH621" s="600"/>
      <c r="AI621" s="564" t="s">
        <v>1405</v>
      </c>
      <c r="AJ621" s="2489">
        <f>VLOOKUP($H$606,$AO$586:$AP$591,2,FALSE)+IF(R606=AO594,0,VLOOKUP($I$614,$AO$613:$AP$615,2,FALSE))</f>
        <v>7</v>
      </c>
      <c r="AK621" s="2491"/>
      <c r="AL621" s="594"/>
      <c r="AM621" s="674"/>
      <c r="AN621" s="596"/>
    </row>
    <row r="622" spans="1:42" s="549" customFormat="1" ht="12.75" customHeight="1">
      <c r="B622" s="535"/>
      <c r="C622" s="932"/>
      <c r="D622" s="535"/>
      <c r="E622" s="935"/>
      <c r="F622" s="935"/>
      <c r="G622" s="935"/>
      <c r="H622" s="935"/>
      <c r="I622" s="935"/>
      <c r="J622" s="935"/>
      <c r="K622" s="935"/>
      <c r="L622" s="935"/>
      <c r="M622" s="935"/>
      <c r="N622" s="935"/>
      <c r="O622" s="935"/>
      <c r="P622" s="935"/>
      <c r="Q622" s="935"/>
      <c r="R622" s="935"/>
      <c r="S622" s="935"/>
      <c r="T622" s="935"/>
      <c r="U622" s="935"/>
      <c r="V622" s="935"/>
      <c r="W622" s="935"/>
      <c r="X622" s="935"/>
      <c r="Y622" s="935"/>
      <c r="Z622" s="935"/>
      <c r="AA622" s="935"/>
      <c r="AB622" s="935"/>
      <c r="AC622" s="535"/>
      <c r="AD622" s="535"/>
      <c r="AE622" s="935"/>
      <c r="AF622" s="935"/>
      <c r="AG622" s="935"/>
      <c r="AH622" s="935"/>
      <c r="AI622" s="935"/>
      <c r="AJ622" s="935"/>
      <c r="AK622" s="935"/>
      <c r="AL622" s="935"/>
      <c r="AM622" s="674"/>
      <c r="AN622" s="596"/>
    </row>
    <row r="623" spans="1:42" s="549" customFormat="1" ht="12.75" customHeight="1">
      <c r="B623" s="535"/>
      <c r="C623" s="538" t="s">
        <v>1406</v>
      </c>
      <c r="D623" s="538"/>
      <c r="E623" s="935"/>
      <c r="F623" s="935"/>
      <c r="G623" s="935"/>
      <c r="H623" s="935"/>
      <c r="I623" s="935"/>
      <c r="J623" s="935"/>
      <c r="K623" s="935"/>
      <c r="L623" s="935"/>
      <c r="M623" s="935"/>
      <c r="N623" s="935"/>
      <c r="O623" s="935"/>
      <c r="P623" s="935"/>
      <c r="Q623" s="935"/>
      <c r="R623" s="935"/>
      <c r="S623" s="935"/>
      <c r="T623" s="935"/>
      <c r="U623" s="935"/>
      <c r="V623" s="935"/>
      <c r="W623" s="935"/>
      <c r="X623" s="935"/>
      <c r="Y623" s="935"/>
      <c r="Z623" s="935"/>
      <c r="AA623" s="935"/>
      <c r="AB623" s="935"/>
      <c r="AC623" s="535"/>
      <c r="AD623" s="535"/>
      <c r="AE623" s="535"/>
      <c r="AF623" s="535"/>
      <c r="AG623" s="535"/>
      <c r="AH623" s="535"/>
      <c r="AI623" s="535"/>
      <c r="AJ623" s="535"/>
      <c r="AK623" s="535"/>
      <c r="AL623" s="535"/>
      <c r="AN623" s="596"/>
    </row>
    <row r="624" spans="1:42" s="549" customFormat="1" ht="12.75" customHeight="1">
      <c r="B624" s="609"/>
      <c r="C624" s="535"/>
      <c r="D624" s="934"/>
      <c r="E624" s="935"/>
      <c r="F624" s="935"/>
      <c r="G624" s="935"/>
      <c r="H624" s="935"/>
      <c r="I624" s="935"/>
      <c r="J624" s="935"/>
      <c r="K624" s="935"/>
      <c r="L624" s="935"/>
      <c r="M624" s="935"/>
      <c r="N624" s="935"/>
      <c r="O624" s="935"/>
      <c r="P624" s="935"/>
      <c r="Q624" s="935"/>
      <c r="R624" s="935"/>
      <c r="S624" s="935"/>
      <c r="T624" s="935"/>
      <c r="U624" s="935"/>
      <c r="V624" s="935"/>
      <c r="W624" s="935"/>
      <c r="X624" s="935"/>
      <c r="Y624" s="935"/>
      <c r="Z624" s="935"/>
      <c r="AA624" s="935"/>
      <c r="AB624" s="935"/>
      <c r="AC624" s="535"/>
      <c r="AD624" s="535"/>
      <c r="AE624" s="535"/>
      <c r="AF624" s="535"/>
      <c r="AG624" s="535"/>
      <c r="AH624" s="535"/>
      <c r="AI624" s="535"/>
      <c r="AJ624" s="535"/>
      <c r="AK624" s="535"/>
      <c r="AL624" s="535"/>
      <c r="AN624" s="596"/>
    </row>
    <row r="625" spans="1:42" s="595" customFormat="1" ht="12.75" customHeight="1">
      <c r="A625" s="549"/>
      <c r="B625" s="535"/>
      <c r="C625" s="535"/>
      <c r="D625" s="662" t="s">
        <v>688</v>
      </c>
      <c r="E625" s="2537" t="s">
        <v>1695</v>
      </c>
      <c r="F625" s="2537"/>
      <c r="G625" s="2537"/>
      <c r="H625" s="2537"/>
      <c r="I625" s="2537"/>
      <c r="J625" s="2537"/>
      <c r="K625" s="2537"/>
      <c r="L625" s="2537"/>
      <c r="M625" s="2537"/>
      <c r="N625" s="2537"/>
      <c r="O625" s="2537"/>
      <c r="P625" s="2537"/>
      <c r="Q625" s="2537"/>
      <c r="R625" s="2537"/>
      <c r="S625" s="2537"/>
      <c r="T625" s="2537"/>
      <c r="U625" s="2537"/>
      <c r="V625" s="2537"/>
      <c r="W625" s="2537"/>
      <c r="X625" s="2537"/>
      <c r="Y625" s="2537"/>
      <c r="Z625" s="2537"/>
      <c r="AA625" s="2537"/>
      <c r="AB625" s="2537"/>
      <c r="AC625" s="2537"/>
      <c r="AD625" s="2537"/>
      <c r="AE625" s="538"/>
      <c r="AF625" s="2454" t="s">
        <v>1353</v>
      </c>
      <c r="AG625" s="2454"/>
      <c r="AH625" s="2454"/>
      <c r="AI625" s="2454"/>
      <c r="AJ625" s="2454"/>
      <c r="AK625" s="2454"/>
      <c r="AL625" s="2454"/>
      <c r="AM625" s="549"/>
      <c r="AN625" s="677"/>
    </row>
    <row r="626" spans="1:42" s="549" customFormat="1" ht="12.75" customHeight="1">
      <c r="A626" s="678"/>
      <c r="B626" s="535"/>
      <c r="C626" s="932"/>
      <c r="D626" s="662"/>
      <c r="E626" s="2537"/>
      <c r="F626" s="2537"/>
      <c r="G626" s="2537"/>
      <c r="H626" s="2537"/>
      <c r="I626" s="2537"/>
      <c r="J626" s="2537"/>
      <c r="K626" s="2537"/>
      <c r="L626" s="2537"/>
      <c r="M626" s="2537"/>
      <c r="N626" s="2537"/>
      <c r="O626" s="2537"/>
      <c r="P626" s="2537"/>
      <c r="Q626" s="2537"/>
      <c r="R626" s="2537"/>
      <c r="S626" s="2537"/>
      <c r="T626" s="2537"/>
      <c r="U626" s="2537"/>
      <c r="V626" s="2537"/>
      <c r="W626" s="2537"/>
      <c r="X626" s="2537"/>
      <c r="Y626" s="2537"/>
      <c r="Z626" s="2537"/>
      <c r="AA626" s="2537"/>
      <c r="AB626" s="2537"/>
      <c r="AC626" s="2537"/>
      <c r="AD626" s="2537"/>
      <c r="AE626" s="535"/>
      <c r="AF626" s="535"/>
      <c r="AG626" s="535"/>
      <c r="AH626" s="535"/>
      <c r="AI626" s="535"/>
      <c r="AJ626" s="535"/>
      <c r="AK626" s="535"/>
      <c r="AL626" s="535"/>
      <c r="AN626" s="596"/>
    </row>
    <row r="627" spans="1:42" s="549" customFormat="1" ht="12.75" customHeight="1">
      <c r="B627" s="535"/>
      <c r="C627" s="930"/>
      <c r="D627" s="662"/>
      <c r="E627" s="2537"/>
      <c r="F627" s="2537"/>
      <c r="G627" s="2537"/>
      <c r="H627" s="2537"/>
      <c r="I627" s="2537"/>
      <c r="J627" s="2537"/>
      <c r="K627" s="2537"/>
      <c r="L627" s="2537"/>
      <c r="M627" s="2537"/>
      <c r="N627" s="2537"/>
      <c r="O627" s="2537"/>
      <c r="P627" s="2537"/>
      <c r="Q627" s="2537"/>
      <c r="R627" s="2537"/>
      <c r="S627" s="2537"/>
      <c r="T627" s="2537"/>
      <c r="U627" s="2537"/>
      <c r="V627" s="2537"/>
      <c r="W627" s="2537"/>
      <c r="X627" s="2537"/>
      <c r="Y627" s="2537"/>
      <c r="Z627" s="2537"/>
      <c r="AA627" s="2537"/>
      <c r="AB627" s="2537"/>
      <c r="AC627" s="2537"/>
      <c r="AD627" s="2537"/>
      <c r="AE627" s="535"/>
      <c r="AF627" s="535"/>
      <c r="AG627" s="535"/>
      <c r="AH627" s="535"/>
      <c r="AI627" s="535"/>
      <c r="AJ627" s="535"/>
      <c r="AK627" s="535"/>
      <c r="AL627" s="535"/>
      <c r="AN627" s="596"/>
    </row>
    <row r="628" spans="1:42" s="549" customFormat="1" ht="12.75" customHeight="1">
      <c r="B628" s="535"/>
      <c r="C628" s="930"/>
      <c r="D628" s="662"/>
      <c r="E628" s="2537"/>
      <c r="F628" s="2537"/>
      <c r="G628" s="2537"/>
      <c r="H628" s="2537"/>
      <c r="I628" s="2537"/>
      <c r="J628" s="2537"/>
      <c r="K628" s="2537"/>
      <c r="L628" s="2537"/>
      <c r="M628" s="2537"/>
      <c r="N628" s="2537"/>
      <c r="O628" s="2537"/>
      <c r="P628" s="2537"/>
      <c r="Q628" s="2537"/>
      <c r="R628" s="2537"/>
      <c r="S628" s="2537"/>
      <c r="T628" s="2537"/>
      <c r="U628" s="2537"/>
      <c r="V628" s="2537"/>
      <c r="W628" s="2537"/>
      <c r="X628" s="2537"/>
      <c r="Y628" s="2537"/>
      <c r="Z628" s="2537"/>
      <c r="AA628" s="2537"/>
      <c r="AB628" s="2537"/>
      <c r="AC628" s="2537"/>
      <c r="AD628" s="2537"/>
      <c r="AE628" s="535"/>
      <c r="AF628" s="535"/>
      <c r="AG628" s="535"/>
      <c r="AH628" s="535"/>
      <c r="AI628" s="535"/>
      <c r="AJ628" s="535"/>
      <c r="AK628" s="535"/>
      <c r="AL628" s="535"/>
      <c r="AN628" s="596"/>
    </row>
    <row r="629" spans="1:42" s="549" customFormat="1" ht="12.75" customHeight="1">
      <c r="B629" s="535"/>
      <c r="C629" s="930"/>
      <c r="D629" s="662"/>
      <c r="E629" s="2537"/>
      <c r="F629" s="2537"/>
      <c r="G629" s="2537"/>
      <c r="H629" s="2537"/>
      <c r="I629" s="2537"/>
      <c r="J629" s="2537"/>
      <c r="K629" s="2537"/>
      <c r="L629" s="2537"/>
      <c r="M629" s="2537"/>
      <c r="N629" s="2537"/>
      <c r="O629" s="2537"/>
      <c r="P629" s="2537"/>
      <c r="Q629" s="2537"/>
      <c r="R629" s="2537"/>
      <c r="S629" s="2537"/>
      <c r="T629" s="2537"/>
      <c r="U629" s="2537"/>
      <c r="V629" s="2537"/>
      <c r="W629" s="2537"/>
      <c r="X629" s="2537"/>
      <c r="Y629" s="2537"/>
      <c r="Z629" s="2537"/>
      <c r="AA629" s="2537"/>
      <c r="AB629" s="2537"/>
      <c r="AC629" s="2537"/>
      <c r="AD629" s="2537"/>
      <c r="AE629" s="535"/>
      <c r="AF629" s="535"/>
      <c r="AG629" s="535"/>
      <c r="AH629" s="535"/>
      <c r="AI629" s="535"/>
      <c r="AJ629" s="535"/>
      <c r="AK629" s="535"/>
      <c r="AL629" s="535"/>
      <c r="AN629" s="596"/>
    </row>
    <row r="630" spans="1:42" s="549" customFormat="1" ht="12.75" customHeight="1">
      <c r="B630" s="535"/>
      <c r="C630" s="930"/>
      <c r="D630" s="662"/>
      <c r="E630" s="2537"/>
      <c r="F630" s="2537"/>
      <c r="G630" s="2537"/>
      <c r="H630" s="2537"/>
      <c r="I630" s="2537"/>
      <c r="J630" s="2537"/>
      <c r="K630" s="2537"/>
      <c r="L630" s="2537"/>
      <c r="M630" s="2537"/>
      <c r="N630" s="2537"/>
      <c r="O630" s="2537"/>
      <c r="P630" s="2537"/>
      <c r="Q630" s="2537"/>
      <c r="R630" s="2537"/>
      <c r="S630" s="2537"/>
      <c r="T630" s="2537"/>
      <c r="U630" s="2537"/>
      <c r="V630" s="2537"/>
      <c r="W630" s="2537"/>
      <c r="X630" s="2537"/>
      <c r="Y630" s="2537"/>
      <c r="Z630" s="2537"/>
      <c r="AA630" s="2537"/>
      <c r="AB630" s="2537"/>
      <c r="AC630" s="2537"/>
      <c r="AD630" s="2537"/>
      <c r="AE630" s="535"/>
      <c r="AF630" s="535"/>
      <c r="AG630" s="535"/>
      <c r="AH630" s="535"/>
      <c r="AI630" s="535"/>
      <c r="AJ630" s="535"/>
      <c r="AK630" s="535"/>
      <c r="AL630" s="535"/>
      <c r="AN630" s="596"/>
    </row>
    <row r="631" spans="1:42" s="549" customFormat="1" ht="12.75" customHeight="1">
      <c r="A631" s="636"/>
      <c r="B631" s="615"/>
      <c r="C631" s="939"/>
      <c r="D631" s="662"/>
      <c r="E631" s="2537"/>
      <c r="F631" s="2537"/>
      <c r="G631" s="2537"/>
      <c r="H631" s="2537"/>
      <c r="I631" s="2537"/>
      <c r="J631" s="2537"/>
      <c r="K631" s="2537"/>
      <c r="L631" s="2537"/>
      <c r="M631" s="2537"/>
      <c r="N631" s="2537"/>
      <c r="O631" s="2537"/>
      <c r="P631" s="2537"/>
      <c r="Q631" s="2537"/>
      <c r="R631" s="2537"/>
      <c r="S631" s="2537"/>
      <c r="T631" s="2537"/>
      <c r="U631" s="2537"/>
      <c r="V631" s="2537"/>
      <c r="W631" s="2537"/>
      <c r="X631" s="2537"/>
      <c r="Y631" s="2537"/>
      <c r="Z631" s="2537"/>
      <c r="AA631" s="2537"/>
      <c r="AB631" s="2537"/>
      <c r="AC631" s="2537"/>
      <c r="AD631" s="2537"/>
      <c r="AE631" s="615"/>
      <c r="AF631" s="615"/>
      <c r="AG631" s="615"/>
      <c r="AH631" s="615"/>
      <c r="AI631" s="615"/>
      <c r="AJ631" s="615"/>
      <c r="AK631" s="535"/>
      <c r="AL631" s="535"/>
      <c r="AN631" s="596"/>
    </row>
    <row r="632" spans="1:42" s="549" customFormat="1" ht="12.75" customHeight="1">
      <c r="B632" s="615"/>
      <c r="C632" s="939"/>
      <c r="D632" s="662"/>
      <c r="E632" s="2537"/>
      <c r="F632" s="2537"/>
      <c r="G632" s="2537"/>
      <c r="H632" s="2537"/>
      <c r="I632" s="2537"/>
      <c r="J632" s="2537"/>
      <c r="K632" s="2537"/>
      <c r="L632" s="2537"/>
      <c r="M632" s="2537"/>
      <c r="N632" s="2537"/>
      <c r="O632" s="2537"/>
      <c r="P632" s="2537"/>
      <c r="Q632" s="2537"/>
      <c r="R632" s="2537"/>
      <c r="S632" s="2537"/>
      <c r="T632" s="2537"/>
      <c r="U632" s="2537"/>
      <c r="V632" s="2537"/>
      <c r="W632" s="2537"/>
      <c r="X632" s="2537"/>
      <c r="Y632" s="2537"/>
      <c r="Z632" s="2537"/>
      <c r="AA632" s="2537"/>
      <c r="AB632" s="2537"/>
      <c r="AC632" s="2537"/>
      <c r="AD632" s="2537"/>
      <c r="AE632" s="615"/>
      <c r="AF632" s="615"/>
      <c r="AG632" s="615"/>
      <c r="AH632" s="615"/>
      <c r="AI632" s="615"/>
      <c r="AJ632" s="615"/>
      <c r="AK632" s="535"/>
      <c r="AL632" s="535"/>
      <c r="AN632" s="596"/>
    </row>
    <row r="633" spans="1:42" s="549" customFormat="1" ht="12" customHeight="1">
      <c r="B633" s="615"/>
      <c r="C633" s="939"/>
      <c r="D633" s="662"/>
      <c r="E633" s="955"/>
      <c r="F633" s="955"/>
      <c r="G633" s="955"/>
      <c r="H633" s="955"/>
      <c r="I633" s="955"/>
      <c r="J633" s="955"/>
      <c r="K633" s="955"/>
      <c r="L633" s="955"/>
      <c r="M633" s="955"/>
      <c r="N633" s="955"/>
      <c r="O633" s="955"/>
      <c r="P633" s="955"/>
      <c r="Q633" s="955"/>
      <c r="R633" s="955"/>
      <c r="S633" s="955"/>
      <c r="T633" s="955"/>
      <c r="U633" s="955"/>
      <c r="V633" s="955"/>
      <c r="W633" s="955"/>
      <c r="X633" s="955"/>
      <c r="Y633" s="955"/>
      <c r="Z633" s="955"/>
      <c r="AA633" s="955"/>
      <c r="AB633" s="955"/>
      <c r="AC633" s="955"/>
      <c r="AD633" s="955"/>
      <c r="AE633" s="615"/>
      <c r="AF633" s="615"/>
      <c r="AG633" s="615"/>
      <c r="AH633" s="615"/>
      <c r="AI633" s="615"/>
      <c r="AJ633" s="615"/>
      <c r="AK633" s="535"/>
      <c r="AL633" s="535"/>
      <c r="AN633" s="596"/>
      <c r="AO633" s="549" t="s">
        <v>592</v>
      </c>
      <c r="AP633" s="672">
        <v>0</v>
      </c>
    </row>
    <row r="634" spans="1:42" s="549" customFormat="1" ht="12.75" customHeight="1">
      <c r="B634" s="615"/>
      <c r="C634" s="930"/>
      <c r="D634" s="662"/>
      <c r="E634" s="615" t="s">
        <v>1407</v>
      </c>
      <c r="F634" s="940"/>
      <c r="G634" s="940"/>
      <c r="H634" s="940"/>
      <c r="I634" s="940"/>
      <c r="J634" s="940"/>
      <c r="K634" s="940"/>
      <c r="L634" s="940"/>
      <c r="M634" s="940"/>
      <c r="N634" s="940"/>
      <c r="O634" s="940"/>
      <c r="P634" s="940"/>
      <c r="Q634" s="940"/>
      <c r="R634" s="940"/>
      <c r="U634" s="940"/>
      <c r="V634" s="940"/>
      <c r="W634" s="940"/>
      <c r="X634" s="2482" t="s">
        <v>592</v>
      </c>
      <c r="Y634" s="2482"/>
      <c r="Z634" s="940"/>
      <c r="AA634" s="940"/>
      <c r="AB634" s="940"/>
      <c r="AC634" s="940"/>
      <c r="AD634" s="940"/>
      <c r="AE634" s="535"/>
      <c r="AF634" s="615"/>
      <c r="AG634" s="615"/>
      <c r="AH634" s="615"/>
      <c r="AI634" s="615"/>
      <c r="AJ634" s="615"/>
      <c r="AK634" s="535"/>
      <c r="AL634" s="535"/>
      <c r="AN634" s="596"/>
      <c r="AO634" s="610" t="s">
        <v>688</v>
      </c>
      <c r="AP634" s="549">
        <v>5</v>
      </c>
    </row>
    <row r="635" spans="1:42" s="549" customFormat="1" ht="12.75" customHeight="1">
      <c r="B635" s="615"/>
      <c r="C635" s="939"/>
      <c r="D635" s="535"/>
      <c r="E635" s="535"/>
      <c r="F635" s="535"/>
      <c r="G635" s="535"/>
      <c r="H635" s="535"/>
      <c r="I635" s="535"/>
      <c r="J635" s="535"/>
      <c r="K635" s="535"/>
      <c r="L635" s="535"/>
      <c r="M635" s="535"/>
      <c r="N635" s="535"/>
      <c r="O635" s="535"/>
      <c r="P635" s="535"/>
      <c r="Q635" s="535"/>
      <c r="R635" s="535"/>
      <c r="S635" s="535"/>
      <c r="T635" s="535"/>
      <c r="U635" s="535"/>
      <c r="V635" s="535"/>
      <c r="W635" s="615"/>
      <c r="X635" s="615"/>
      <c r="Y635" s="615"/>
      <c r="Z635" s="615"/>
      <c r="AA635" s="615"/>
      <c r="AB635" s="615"/>
      <c r="AC635" s="535"/>
      <c r="AD635" s="535"/>
      <c r="AE635" s="535"/>
      <c r="AF635" s="535"/>
      <c r="AG635" s="535"/>
      <c r="AH635" s="535"/>
      <c r="AI635" s="535"/>
      <c r="AJ635" s="535"/>
      <c r="AK635" s="535"/>
      <c r="AL635" s="535"/>
      <c r="AN635" s="596"/>
      <c r="AO635" s="610" t="s">
        <v>510</v>
      </c>
      <c r="AP635" s="679">
        <v>4</v>
      </c>
    </row>
    <row r="636" spans="1:42" s="549" customFormat="1" ht="12.75" customHeight="1">
      <c r="B636" s="535"/>
      <c r="C636" s="930"/>
      <c r="D636" s="662" t="s">
        <v>510</v>
      </c>
      <c r="E636" s="554" t="s">
        <v>1408</v>
      </c>
      <c r="F636" s="941"/>
      <c r="G636" s="941"/>
      <c r="H636" s="941"/>
      <c r="I636" s="941"/>
      <c r="J636" s="941"/>
      <c r="K636" s="941"/>
      <c r="L636" s="941"/>
      <c r="M636" s="941"/>
      <c r="N636" s="941"/>
      <c r="O636" s="941"/>
      <c r="P636" s="941"/>
      <c r="Q636" s="941"/>
      <c r="R636" s="941"/>
      <c r="S636" s="941"/>
      <c r="T636" s="941"/>
      <c r="U636" s="535"/>
      <c r="V636" s="535"/>
      <c r="W636" s="941"/>
      <c r="X636" s="941"/>
      <c r="Y636" s="941"/>
      <c r="Z636" s="941"/>
      <c r="AA636" s="941"/>
      <c r="AB636" s="941"/>
      <c r="AC636" s="535"/>
      <c r="AD636" s="535"/>
      <c r="AE636" s="535"/>
      <c r="AF636" s="2454" t="s">
        <v>1409</v>
      </c>
      <c r="AG636" s="2454"/>
      <c r="AH636" s="2454"/>
      <c r="AI636" s="2454"/>
      <c r="AJ636" s="2454"/>
      <c r="AK636" s="2454"/>
      <c r="AL636" s="2454"/>
      <c r="AN636" s="596"/>
      <c r="AO636" s="610" t="s">
        <v>278</v>
      </c>
      <c r="AP636" s="549">
        <v>3</v>
      </c>
    </row>
    <row r="637" spans="1:42" s="549" customFormat="1" ht="12.75" customHeight="1">
      <c r="B637" s="535"/>
      <c r="C637" s="930"/>
      <c r="D637" s="535"/>
      <c r="E637" s="535"/>
      <c r="F637" s="941"/>
      <c r="G637" s="941"/>
      <c r="H637" s="941"/>
      <c r="I637" s="941"/>
      <c r="J637" s="941"/>
      <c r="K637" s="941"/>
      <c r="L637" s="941"/>
      <c r="M637" s="941"/>
      <c r="N637" s="941"/>
      <c r="O637" s="941"/>
      <c r="P637" s="941"/>
      <c r="Q637" s="941"/>
      <c r="R637" s="941"/>
      <c r="S637" s="941"/>
      <c r="T637" s="941"/>
      <c r="U637" s="535"/>
      <c r="V637" s="535"/>
      <c r="W637" s="535"/>
      <c r="X637" s="941"/>
      <c r="Y637" s="941"/>
      <c r="Z637" s="941"/>
      <c r="AA637" s="941"/>
      <c r="AB637" s="941"/>
      <c r="AC637" s="535"/>
      <c r="AD637" s="535"/>
      <c r="AE637" s="535"/>
      <c r="AF637" s="535"/>
      <c r="AG637" s="535"/>
      <c r="AH637" s="535"/>
      <c r="AI637" s="535"/>
      <c r="AJ637" s="535"/>
      <c r="AK637" s="535"/>
      <c r="AL637" s="535"/>
      <c r="AN637" s="596"/>
      <c r="AO637" s="610" t="s">
        <v>1398</v>
      </c>
      <c r="AP637" s="679">
        <v>4</v>
      </c>
    </row>
    <row r="638" spans="1:42" s="549" customFormat="1" ht="12.75" customHeight="1">
      <c r="B638" s="535"/>
      <c r="C638" s="930"/>
      <c r="D638" s="535" t="s">
        <v>1401</v>
      </c>
      <c r="E638" s="935"/>
      <c r="F638" s="935"/>
      <c r="G638" s="935"/>
      <c r="H638" s="2538" t="s">
        <v>688</v>
      </c>
      <c r="I638" s="2538"/>
      <c r="J638" s="941"/>
      <c r="K638" s="941"/>
      <c r="L638" s="941"/>
      <c r="M638" s="941"/>
      <c r="N638" s="941"/>
      <c r="O638" s="941"/>
      <c r="P638" s="941"/>
      <c r="Q638" s="941"/>
      <c r="R638" s="941"/>
      <c r="S638" s="941"/>
      <c r="T638" s="941"/>
      <c r="U638" s="935"/>
      <c r="V638" s="935"/>
      <c r="W638" s="935"/>
      <c r="X638" s="535"/>
      <c r="Y638" s="535"/>
      <c r="Z638" s="535"/>
      <c r="AA638" s="535"/>
      <c r="AB638" s="535"/>
      <c r="AC638" s="535"/>
      <c r="AD638" s="535"/>
      <c r="AE638" s="535"/>
      <c r="AF638" s="535"/>
      <c r="AG638" s="535"/>
      <c r="AH638" s="535"/>
      <c r="AI638" s="535"/>
      <c r="AJ638" s="535"/>
      <c r="AK638" s="535"/>
      <c r="AL638" s="535"/>
      <c r="AN638" s="596"/>
      <c r="AO638" s="610" t="s">
        <v>1399</v>
      </c>
      <c r="AP638" s="549">
        <v>3</v>
      </c>
    </row>
    <row r="639" spans="1:42" s="549" customFormat="1" ht="12.75" customHeight="1">
      <c r="B639" s="535"/>
      <c r="C639" s="930"/>
      <c r="D639" s="535"/>
      <c r="E639" s="935"/>
      <c r="F639" s="941"/>
      <c r="G639" s="941"/>
      <c r="H639" s="941"/>
      <c r="I639" s="942"/>
      <c r="J639" s="941"/>
      <c r="K639" s="941"/>
      <c r="L639" s="941"/>
      <c r="M639" s="941"/>
      <c r="N639" s="941"/>
      <c r="O639" s="941"/>
      <c r="P639" s="941"/>
      <c r="Q639" s="941"/>
      <c r="R639" s="535"/>
      <c r="S639" s="535"/>
      <c r="T639" s="941"/>
      <c r="U639" s="935"/>
      <c r="V639" s="935"/>
      <c r="W639" s="935"/>
      <c r="X639" s="935"/>
      <c r="Y639" s="935"/>
      <c r="Z639" s="935"/>
      <c r="AA639" s="935"/>
      <c r="AB639" s="935"/>
      <c r="AC639" s="535"/>
      <c r="AD639" s="535"/>
      <c r="AE639" s="535"/>
      <c r="AF639" s="535"/>
      <c r="AG639" s="535"/>
      <c r="AH639" s="535"/>
      <c r="AI639" s="941"/>
      <c r="AJ639" s="941"/>
      <c r="AK639" s="941"/>
      <c r="AL639" s="941"/>
      <c r="AM639" s="680"/>
      <c r="AN639" s="596"/>
      <c r="AO639" s="610" t="s">
        <v>1410</v>
      </c>
      <c r="AP639" s="549">
        <v>2</v>
      </c>
    </row>
    <row r="640" spans="1:42" s="549" customFormat="1" ht="12.75" customHeight="1">
      <c r="A640" s="605"/>
      <c r="B640" s="600"/>
      <c r="C640" s="943"/>
      <c r="D640" s="600"/>
      <c r="E640" s="938"/>
      <c r="F640" s="938"/>
      <c r="G640" s="944"/>
      <c r="H640" s="944"/>
      <c r="I640" s="944"/>
      <c r="J640" s="944"/>
      <c r="K640" s="944"/>
      <c r="L640" s="944"/>
      <c r="M640" s="944"/>
      <c r="N640" s="944"/>
      <c r="O640" s="944"/>
      <c r="P640" s="944"/>
      <c r="Q640" s="944"/>
      <c r="R640" s="944"/>
      <c r="S640" s="944"/>
      <c r="T640" s="938"/>
      <c r="U640" s="938"/>
      <c r="V640" s="938"/>
      <c r="W640" s="938"/>
      <c r="X640" s="938"/>
      <c r="Y640" s="938"/>
      <c r="Z640" s="938"/>
      <c r="AA640" s="938"/>
      <c r="AB640" s="600"/>
      <c r="AC640" s="600"/>
      <c r="AD640" s="600"/>
      <c r="AE640" s="600"/>
      <c r="AF640" s="600"/>
      <c r="AG640" s="600"/>
      <c r="AH640" s="600"/>
      <c r="AI640" s="564" t="s">
        <v>1411</v>
      </c>
      <c r="AJ640" s="2489">
        <f>VLOOKUP($H$638,$AO$605:$AP$607,2,FALSE)</f>
        <v>3</v>
      </c>
      <c r="AK640" s="2491"/>
      <c r="AL640" s="594"/>
      <c r="AN640" s="596"/>
      <c r="AO640" s="610" t="s">
        <v>1412</v>
      </c>
      <c r="AP640" s="549">
        <v>1</v>
      </c>
    </row>
    <row r="641" spans="1:42" s="549" customFormat="1" ht="12.75" customHeight="1">
      <c r="B641" s="535"/>
      <c r="C641" s="930"/>
      <c r="D641" s="535"/>
      <c r="E641" s="935"/>
      <c r="F641" s="935"/>
      <c r="G641" s="935"/>
      <c r="H641" s="535"/>
      <c r="I641" s="535"/>
      <c r="J641" s="941"/>
      <c r="K641" s="941"/>
      <c r="L641" s="941"/>
      <c r="M641" s="941"/>
      <c r="N641" s="941"/>
      <c r="O641" s="941"/>
      <c r="P641" s="941"/>
      <c r="Q641" s="941"/>
      <c r="R641" s="941"/>
      <c r="S641" s="941"/>
      <c r="T641" s="941"/>
      <c r="U641" s="935"/>
      <c r="V641" s="935"/>
      <c r="W641" s="935"/>
      <c r="X641" s="935"/>
      <c r="Y641" s="935"/>
      <c r="Z641" s="935"/>
      <c r="AA641" s="935"/>
      <c r="AB641" s="935"/>
      <c r="AC641" s="535"/>
      <c r="AD641" s="535"/>
      <c r="AE641" s="535"/>
      <c r="AF641" s="535"/>
      <c r="AG641" s="535"/>
      <c r="AH641" s="535"/>
      <c r="AI641" s="535"/>
      <c r="AJ641" s="542"/>
      <c r="AK641" s="535"/>
      <c r="AL641" s="535"/>
      <c r="AN641" s="596"/>
    </row>
    <row r="642" spans="1:42" s="549" customFormat="1" ht="12.75" customHeight="1">
      <c r="B642" s="535"/>
      <c r="C642" s="538" t="s">
        <v>1413</v>
      </c>
      <c r="D642" s="535"/>
      <c r="E642" s="935"/>
      <c r="F642" s="941"/>
      <c r="G642" s="941"/>
      <c r="H642" s="941"/>
      <c r="I642" s="941"/>
      <c r="J642" s="941"/>
      <c r="K642" s="941"/>
      <c r="L642" s="941"/>
      <c r="M642" s="941"/>
      <c r="N642" s="941"/>
      <c r="O642" s="941"/>
      <c r="P642" s="941"/>
      <c r="Q642" s="941"/>
      <c r="R642" s="941"/>
      <c r="S642" s="941"/>
      <c r="T642" s="941"/>
      <c r="U642" s="535"/>
      <c r="V642" s="535"/>
      <c r="W642" s="941"/>
      <c r="X642" s="941"/>
      <c r="Y642" s="941"/>
      <c r="Z642" s="941"/>
      <c r="AA642" s="941"/>
      <c r="AB642" s="941"/>
      <c r="AC642" s="593"/>
      <c r="AD642" s="593"/>
      <c r="AE642" s="593"/>
      <c r="AF642" s="593"/>
      <c r="AG642" s="593"/>
      <c r="AH642" s="593"/>
      <c r="AI642" s="593"/>
      <c r="AJ642" s="535"/>
      <c r="AK642" s="535"/>
      <c r="AL642" s="535"/>
      <c r="AN642" s="596"/>
    </row>
    <row r="643" spans="1:42" s="549" customFormat="1" ht="12.75" customHeight="1">
      <c r="A643" s="636"/>
      <c r="B643" s="535"/>
      <c r="C643" s="932"/>
      <c r="D643" s="535"/>
      <c r="E643" s="941"/>
      <c r="F643" s="941"/>
      <c r="G643" s="941"/>
      <c r="H643" s="941"/>
      <c r="I643" s="941"/>
      <c r="J643" s="941"/>
      <c r="K643" s="941"/>
      <c r="L643" s="941"/>
      <c r="M643" s="941"/>
      <c r="N643" s="941"/>
      <c r="O643" s="941"/>
      <c r="P643" s="941"/>
      <c r="Q643" s="941"/>
      <c r="R643" s="941"/>
      <c r="S643" s="941"/>
      <c r="T643" s="941"/>
      <c r="U643" s="941"/>
      <c r="V643" s="941"/>
      <c r="W643" s="941"/>
      <c r="X643" s="941"/>
      <c r="Y643" s="941"/>
      <c r="Z643" s="941"/>
      <c r="AA643" s="941"/>
      <c r="AB643" s="941"/>
      <c r="AC643" s="535"/>
      <c r="AD643" s="535"/>
      <c r="AE643" s="535"/>
      <c r="AF643" s="535"/>
      <c r="AG643" s="535"/>
      <c r="AH643" s="535"/>
      <c r="AI643" s="535"/>
      <c r="AJ643" s="535"/>
      <c r="AK643" s="535"/>
      <c r="AL643" s="535"/>
      <c r="AN643" s="596"/>
    </row>
    <row r="644" spans="1:42" s="549" customFormat="1" ht="12.75" customHeight="1">
      <c r="B644" s="535"/>
      <c r="C644" s="535"/>
      <c r="D644" s="662" t="s">
        <v>688</v>
      </c>
      <c r="E644" s="2509" t="s">
        <v>2099</v>
      </c>
      <c r="F644" s="2509"/>
      <c r="G644" s="2509"/>
      <c r="H644" s="2509"/>
      <c r="I644" s="2509"/>
      <c r="J644" s="2509"/>
      <c r="K644" s="2509"/>
      <c r="L644" s="2509"/>
      <c r="M644" s="2509"/>
      <c r="N644" s="2509"/>
      <c r="O644" s="2509"/>
      <c r="P644" s="2509"/>
      <c r="Q644" s="2509"/>
      <c r="R644" s="2509"/>
      <c r="S644" s="2509"/>
      <c r="T644" s="2509"/>
      <c r="U644" s="2509"/>
      <c r="V644" s="2509"/>
      <c r="W644" s="2509"/>
      <c r="X644" s="2509"/>
      <c r="Y644" s="2509"/>
      <c r="Z644" s="2509"/>
      <c r="AA644" s="2509"/>
      <c r="AB644" s="2509"/>
      <c r="AC644" s="2509"/>
      <c r="AD644" s="2509"/>
      <c r="AE644" s="535"/>
      <c r="AF644" s="2454" t="s">
        <v>1353</v>
      </c>
      <c r="AG644" s="2454"/>
      <c r="AH644" s="2454"/>
      <c r="AI644" s="2454"/>
      <c r="AJ644" s="2454"/>
      <c r="AK644" s="2454"/>
      <c r="AL644" s="2454"/>
      <c r="AN644" s="596"/>
    </row>
    <row r="645" spans="1:42" s="549" customFormat="1" ht="12.75" customHeight="1">
      <c r="B645" s="535"/>
      <c r="C645" s="535"/>
      <c r="D645" s="662"/>
      <c r="E645" s="2509"/>
      <c r="F645" s="2509"/>
      <c r="G645" s="2509"/>
      <c r="H645" s="2509"/>
      <c r="I645" s="2509"/>
      <c r="J645" s="2509"/>
      <c r="K645" s="2509"/>
      <c r="L645" s="2509"/>
      <c r="M645" s="2509"/>
      <c r="N645" s="2509"/>
      <c r="O645" s="2509"/>
      <c r="P645" s="2509"/>
      <c r="Q645" s="2509"/>
      <c r="R645" s="2509"/>
      <c r="S645" s="2509"/>
      <c r="T645" s="2509"/>
      <c r="U645" s="2509"/>
      <c r="V645" s="2509"/>
      <c r="W645" s="2509"/>
      <c r="X645" s="2509"/>
      <c r="Y645" s="2509"/>
      <c r="Z645" s="2509"/>
      <c r="AA645" s="2509"/>
      <c r="AB645" s="2509"/>
      <c r="AC645" s="2509"/>
      <c r="AD645" s="2509"/>
      <c r="AE645" s="593"/>
      <c r="AF645" s="593"/>
      <c r="AG645" s="593"/>
      <c r="AH645" s="593"/>
      <c r="AI645" s="593"/>
      <c r="AJ645" s="593"/>
      <c r="AK645" s="593"/>
      <c r="AL645" s="593"/>
      <c r="AN645" s="596"/>
    </row>
    <row r="646" spans="1:42" s="549" customFormat="1" ht="12.75" customHeight="1">
      <c r="B646" s="615"/>
      <c r="C646" s="939"/>
      <c r="D646" s="662"/>
      <c r="E646" s="615"/>
      <c r="F646" s="615"/>
      <c r="G646" s="615"/>
      <c r="H646" s="615"/>
      <c r="I646" s="615"/>
      <c r="J646" s="615"/>
      <c r="K646" s="615"/>
      <c r="L646" s="615"/>
      <c r="M646" s="615"/>
      <c r="N646" s="615"/>
      <c r="O646" s="615"/>
      <c r="P646" s="615"/>
      <c r="Q646" s="615"/>
      <c r="R646" s="615"/>
      <c r="S646" s="615"/>
      <c r="T646" s="615"/>
      <c r="U646" s="615"/>
      <c r="V646" s="615"/>
      <c r="W646" s="615"/>
      <c r="X646" s="615"/>
      <c r="Y646" s="615"/>
      <c r="Z646" s="615"/>
      <c r="AA646" s="615"/>
      <c r="AB646" s="615"/>
      <c r="AC646" s="535"/>
      <c r="AD646" s="535"/>
      <c r="AE646" s="615"/>
      <c r="AF646" s="535"/>
      <c r="AG646" s="535"/>
      <c r="AH646" s="535"/>
      <c r="AI646" s="535"/>
      <c r="AJ646" s="535"/>
      <c r="AK646" s="535"/>
      <c r="AL646" s="535"/>
      <c r="AN646" s="596"/>
    </row>
    <row r="647" spans="1:42" s="549" customFormat="1" ht="12.75" customHeight="1">
      <c r="B647" s="535"/>
      <c r="C647" s="930"/>
      <c r="D647" s="662" t="s">
        <v>510</v>
      </c>
      <c r="E647" s="615" t="s">
        <v>1414</v>
      </c>
      <c r="F647" s="615"/>
      <c r="G647" s="615"/>
      <c r="H647" s="615"/>
      <c r="I647" s="615"/>
      <c r="J647" s="615"/>
      <c r="K647" s="615"/>
      <c r="L647" s="615"/>
      <c r="M647" s="615"/>
      <c r="N647" s="615"/>
      <c r="O647" s="615"/>
      <c r="P647" s="615"/>
      <c r="Q647" s="615"/>
      <c r="R647" s="615"/>
      <c r="S647" s="615"/>
      <c r="T647" s="615"/>
      <c r="U647" s="615"/>
      <c r="V647" s="615"/>
      <c r="W647" s="615"/>
      <c r="X647" s="615"/>
      <c r="Y647" s="615"/>
      <c r="Z647" s="615"/>
      <c r="AA647" s="615"/>
      <c r="AB647" s="615"/>
      <c r="AC647" s="535"/>
      <c r="AD647" s="535"/>
      <c r="AE647" s="535"/>
      <c r="AF647" s="2454" t="s">
        <v>1409</v>
      </c>
      <c r="AG647" s="2454"/>
      <c r="AH647" s="2454"/>
      <c r="AI647" s="2454"/>
      <c r="AJ647" s="2454"/>
      <c r="AK647" s="2454"/>
      <c r="AL647" s="2454"/>
      <c r="AN647" s="596"/>
    </row>
    <row r="648" spans="1:42" s="549" customFormat="1" ht="12.75" customHeight="1">
      <c r="B648" s="535"/>
      <c r="C648" s="930"/>
      <c r="D648" s="662"/>
      <c r="E648" s="615" t="s">
        <v>1415</v>
      </c>
      <c r="F648" s="615"/>
      <c r="G648" s="615"/>
      <c r="H648" s="615"/>
      <c r="I648" s="615"/>
      <c r="J648" s="615"/>
      <c r="K648" s="615"/>
      <c r="L648" s="615"/>
      <c r="M648" s="615"/>
      <c r="N648" s="615"/>
      <c r="O648" s="615"/>
      <c r="P648" s="615"/>
      <c r="Q648" s="615"/>
      <c r="R648" s="615"/>
      <c r="S648" s="615"/>
      <c r="T648" s="615"/>
      <c r="U648" s="615"/>
      <c r="V648" s="615"/>
      <c r="W648" s="615"/>
      <c r="X648" s="615"/>
      <c r="Y648" s="615"/>
      <c r="Z648" s="615"/>
      <c r="AA648" s="615"/>
      <c r="AB648" s="615"/>
      <c r="AC648" s="535"/>
      <c r="AD648" s="535"/>
      <c r="AE648" s="593"/>
      <c r="AF648" s="593"/>
      <c r="AG648" s="593"/>
      <c r="AH648" s="593"/>
      <c r="AI648" s="593"/>
      <c r="AJ648" s="593"/>
      <c r="AK648" s="593"/>
      <c r="AL648" s="593"/>
      <c r="AN648" s="596"/>
    </row>
    <row r="649" spans="1:42" s="549" customFormat="1" ht="12.75" customHeight="1">
      <c r="B649" s="535"/>
      <c r="C649" s="930"/>
      <c r="D649" s="535"/>
      <c r="E649" s="615"/>
      <c r="F649" s="615"/>
      <c r="G649" s="615"/>
      <c r="H649" s="615"/>
      <c r="I649" s="615"/>
      <c r="J649" s="615"/>
      <c r="K649" s="615"/>
      <c r="L649" s="615"/>
      <c r="M649" s="615"/>
      <c r="N649" s="615"/>
      <c r="O649" s="615"/>
      <c r="P649" s="615"/>
      <c r="Q649" s="615"/>
      <c r="R649" s="615"/>
      <c r="S649" s="615"/>
      <c r="T649" s="615"/>
      <c r="U649" s="615"/>
      <c r="V649" s="615"/>
      <c r="W649" s="615"/>
      <c r="X649" s="615"/>
      <c r="Y649" s="615"/>
      <c r="Z649" s="615"/>
      <c r="AA649" s="615"/>
      <c r="AB649" s="615"/>
      <c r="AC649" s="535"/>
      <c r="AD649" s="535"/>
      <c r="AE649" s="535"/>
      <c r="AF649" s="535"/>
      <c r="AG649" s="535"/>
      <c r="AH649" s="535"/>
      <c r="AI649" s="535"/>
      <c r="AJ649" s="535"/>
      <c r="AK649" s="535"/>
      <c r="AL649" s="535"/>
      <c r="AN649" s="596"/>
      <c r="AP649" s="679"/>
    </row>
    <row r="650" spans="1:42" s="549" customFormat="1" ht="12.75" customHeight="1">
      <c r="B650" s="535"/>
      <c r="C650" s="930"/>
      <c r="D650" s="535" t="s">
        <v>1401</v>
      </c>
      <c r="E650" s="935"/>
      <c r="F650" s="935"/>
      <c r="G650" s="935"/>
      <c r="H650" s="2538" t="s">
        <v>510</v>
      </c>
      <c r="I650" s="2538"/>
      <c r="J650" s="615"/>
      <c r="K650" s="615"/>
      <c r="L650" s="615"/>
      <c r="M650" s="615"/>
      <c r="N650" s="615"/>
      <c r="O650" s="615"/>
      <c r="P650" s="615"/>
      <c r="Q650" s="615"/>
      <c r="R650" s="615"/>
      <c r="S650" s="615"/>
      <c r="T650" s="615"/>
      <c r="U650" s="615"/>
      <c r="V650" s="615"/>
      <c r="W650" s="535"/>
      <c r="X650" s="535"/>
      <c r="Y650" s="535"/>
      <c r="Z650" s="535"/>
      <c r="AA650" s="535"/>
      <c r="AB650" s="535"/>
      <c r="AC650" s="535"/>
      <c r="AD650" s="535"/>
      <c r="AE650" s="535"/>
      <c r="AF650" s="535"/>
      <c r="AG650" s="535"/>
      <c r="AH650" s="535"/>
      <c r="AI650" s="535"/>
      <c r="AJ650" s="535"/>
      <c r="AK650" s="535"/>
      <c r="AL650" s="535"/>
      <c r="AN650" s="596"/>
    </row>
    <row r="651" spans="1:42" s="549" customFormat="1" ht="12.75" customHeight="1">
      <c r="B651" s="535"/>
      <c r="C651" s="930"/>
      <c r="D651" s="535"/>
      <c r="E651" s="935"/>
      <c r="F651" s="935"/>
      <c r="G651" s="615"/>
      <c r="H651" s="615"/>
      <c r="I651" s="615"/>
      <c r="J651" s="615"/>
      <c r="K651" s="615"/>
      <c r="L651" s="615"/>
      <c r="M651" s="615"/>
      <c r="N651" s="615"/>
      <c r="O651" s="615"/>
      <c r="P651" s="615"/>
      <c r="Q651" s="615"/>
      <c r="R651" s="615"/>
      <c r="S651" s="615"/>
      <c r="T651" s="615"/>
      <c r="U651" s="615"/>
      <c r="V651" s="615"/>
      <c r="W651" s="615"/>
      <c r="X651" s="615"/>
      <c r="Y651" s="615"/>
      <c r="Z651" s="935"/>
      <c r="AA651" s="935"/>
      <c r="AB651" s="935"/>
      <c r="AC651" s="535"/>
      <c r="AD651" s="535"/>
      <c r="AE651" s="535"/>
      <c r="AF651" s="535"/>
      <c r="AG651" s="535"/>
      <c r="AH651" s="535"/>
      <c r="AI651" s="535"/>
      <c r="AJ651" s="615"/>
      <c r="AK651" s="615"/>
      <c r="AL651" s="615"/>
      <c r="AM651" s="550"/>
      <c r="AN651" s="596"/>
    </row>
    <row r="652" spans="1:42" s="549" customFormat="1" ht="12.75" customHeight="1">
      <c r="A652" s="605"/>
      <c r="B652" s="600"/>
      <c r="C652" s="943"/>
      <c r="D652" s="600"/>
      <c r="E652" s="938"/>
      <c r="F652" s="938"/>
      <c r="G652" s="664"/>
      <c r="H652" s="664"/>
      <c r="I652" s="664"/>
      <c r="J652" s="664"/>
      <c r="K652" s="664"/>
      <c r="L652" s="664"/>
      <c r="M652" s="664"/>
      <c r="N652" s="664"/>
      <c r="O652" s="664"/>
      <c r="P652" s="664"/>
      <c r="Q652" s="664"/>
      <c r="R652" s="664"/>
      <c r="S652" s="664"/>
      <c r="T652" s="664"/>
      <c r="U652" s="664"/>
      <c r="V652" s="664"/>
      <c r="W652" s="664"/>
      <c r="X652" s="664"/>
      <c r="Y652" s="938"/>
      <c r="Z652" s="938"/>
      <c r="AA652" s="938"/>
      <c r="AB652" s="600"/>
      <c r="AC652" s="600"/>
      <c r="AD652" s="600"/>
      <c r="AE652" s="600"/>
      <c r="AF652" s="600"/>
      <c r="AG652" s="600"/>
      <c r="AH652" s="600"/>
      <c r="AI652" s="564" t="s">
        <v>1416</v>
      </c>
      <c r="AJ652" s="2489">
        <f>VLOOKUP(H650,AT605:AU607,2,FALSE)</f>
        <v>2</v>
      </c>
      <c r="AK652" s="2491"/>
      <c r="AL652" s="594"/>
      <c r="AN652" s="596"/>
    </row>
    <row r="653" spans="1:42" s="549" customFormat="1" ht="12.75" customHeight="1">
      <c r="B653" s="535"/>
      <c r="C653" s="930"/>
      <c r="D653" s="535"/>
      <c r="E653" s="535"/>
      <c r="F653" s="535"/>
      <c r="G653" s="535"/>
      <c r="H653" s="535"/>
      <c r="I653" s="535"/>
      <c r="J653" s="535"/>
      <c r="K653" s="535"/>
      <c r="L653" s="535"/>
      <c r="M653" s="535"/>
      <c r="N653" s="535"/>
      <c r="O653" s="535"/>
      <c r="P653" s="535"/>
      <c r="Q653" s="535"/>
      <c r="R653" s="535"/>
      <c r="S653" s="535"/>
      <c r="T653" s="535"/>
      <c r="U653" s="535"/>
      <c r="V653" s="535"/>
      <c r="W653" s="535"/>
      <c r="X653" s="535"/>
      <c r="Y653" s="535"/>
      <c r="Z653" s="535"/>
      <c r="AA653" s="535"/>
      <c r="AB653" s="535"/>
      <c r="AC653" s="535"/>
      <c r="AD653" s="535"/>
      <c r="AE653" s="535"/>
      <c r="AF653" s="535"/>
      <c r="AG653" s="535"/>
      <c r="AH653" s="535"/>
      <c r="AI653" s="535"/>
      <c r="AJ653" s="535"/>
      <c r="AK653" s="535"/>
      <c r="AL653" s="535"/>
      <c r="AN653" s="596"/>
    </row>
    <row r="654" spans="1:42" s="549" customFormat="1" ht="12.75" customHeight="1">
      <c r="B654" s="535"/>
      <c r="C654" s="538" t="s">
        <v>1417</v>
      </c>
      <c r="D654" s="535"/>
      <c r="E654" s="535"/>
      <c r="F654" s="535"/>
      <c r="G654" s="535"/>
      <c r="H654" s="535"/>
      <c r="I654" s="535"/>
      <c r="J654" s="535"/>
      <c r="K654" s="535"/>
      <c r="L654" s="535"/>
      <c r="M654" s="535"/>
      <c r="N654" s="535"/>
      <c r="O654" s="535"/>
      <c r="P654" s="535"/>
      <c r="Q654" s="535"/>
      <c r="R654" s="535"/>
      <c r="S654" s="535"/>
      <c r="T654" s="535"/>
      <c r="U654" s="535"/>
      <c r="V654" s="535"/>
      <c r="W654" s="535"/>
      <c r="X654" s="535"/>
      <c r="Y654" s="535"/>
      <c r="Z654" s="535"/>
      <c r="AA654" s="535"/>
      <c r="AB654" s="535"/>
      <c r="AC654" s="535"/>
      <c r="AD654" s="535"/>
      <c r="AE654" s="535"/>
      <c r="AF654" s="535"/>
      <c r="AG654" s="535"/>
      <c r="AH654" s="535"/>
      <c r="AI654" s="535"/>
      <c r="AJ654" s="535"/>
      <c r="AK654" s="535"/>
      <c r="AL654" s="535"/>
      <c r="AN654" s="596"/>
    </row>
    <row r="655" spans="1:42" s="549" customFormat="1" ht="12.75" customHeight="1">
      <c r="B655" s="535"/>
      <c r="C655" s="538"/>
      <c r="D655" s="681" t="s">
        <v>1418</v>
      </c>
      <c r="E655" s="535"/>
      <c r="F655" s="535"/>
      <c r="G655" s="535"/>
      <c r="H655" s="535"/>
      <c r="I655" s="535"/>
      <c r="J655" s="535"/>
      <c r="K655" s="535"/>
      <c r="L655" s="535"/>
      <c r="M655" s="535"/>
      <c r="N655" s="535"/>
      <c r="O655" s="535"/>
      <c r="P655" s="535"/>
      <c r="Q655" s="535"/>
      <c r="R655" s="535"/>
      <c r="S655" s="535"/>
      <c r="T655" s="535"/>
      <c r="U655" s="535"/>
      <c r="V655" s="535"/>
      <c r="W655" s="535"/>
      <c r="X655" s="535"/>
      <c r="Y655" s="535"/>
      <c r="Z655" s="535"/>
      <c r="AA655" s="535"/>
      <c r="AB655" s="535"/>
      <c r="AC655" s="535"/>
      <c r="AD655" s="535"/>
      <c r="AE655" s="535"/>
      <c r="AF655" s="535"/>
      <c r="AG655" s="535"/>
      <c r="AH655" s="535"/>
      <c r="AI655" s="535"/>
      <c r="AJ655" s="535"/>
      <c r="AK655" s="535"/>
      <c r="AL655" s="535"/>
      <c r="AN655" s="596"/>
    </row>
    <row r="656" spans="1:42" s="549" customFormat="1" ht="12.75" customHeight="1">
      <c r="B656" s="535"/>
      <c r="C656" s="538"/>
      <c r="D656" s="535"/>
      <c r="E656" s="535"/>
      <c r="F656" s="535"/>
      <c r="G656" s="535"/>
      <c r="H656" s="535"/>
      <c r="I656" s="535"/>
      <c r="J656" s="535"/>
      <c r="K656" s="535"/>
      <c r="L656" s="535"/>
      <c r="M656" s="535"/>
      <c r="N656" s="535"/>
      <c r="O656" s="535"/>
      <c r="P656" s="535"/>
      <c r="Q656" s="535"/>
      <c r="R656" s="535"/>
      <c r="S656" s="535"/>
      <c r="T656" s="535"/>
      <c r="U656" s="535"/>
      <c r="V656" s="535"/>
      <c r="W656" s="535"/>
      <c r="X656" s="535"/>
      <c r="Y656" s="535"/>
      <c r="Z656" s="535"/>
      <c r="AA656" s="535"/>
      <c r="AB656" s="535"/>
      <c r="AC656" s="535"/>
      <c r="AD656" s="535"/>
      <c r="AE656" s="535"/>
      <c r="AF656" s="535"/>
      <c r="AG656" s="535"/>
      <c r="AH656" s="535"/>
      <c r="AI656" s="535"/>
      <c r="AJ656" s="535"/>
      <c r="AK656" s="535"/>
      <c r="AL656" s="535"/>
      <c r="AN656" s="596"/>
    </row>
    <row r="657" spans="1:42" s="549" customFormat="1" ht="12.75" customHeight="1">
      <c r="B657" s="535"/>
      <c r="C657" s="538"/>
      <c r="D657" s="662" t="s">
        <v>688</v>
      </c>
      <c r="E657" s="2509" t="s">
        <v>1419</v>
      </c>
      <c r="F657" s="2509"/>
      <c r="G657" s="2509"/>
      <c r="H657" s="2509"/>
      <c r="I657" s="2509"/>
      <c r="J657" s="2509"/>
      <c r="K657" s="2509"/>
      <c r="L657" s="2509"/>
      <c r="M657" s="2509"/>
      <c r="N657" s="2509"/>
      <c r="O657" s="2509"/>
      <c r="P657" s="2509"/>
      <c r="Q657" s="2509"/>
      <c r="R657" s="2509"/>
      <c r="S657" s="2509"/>
      <c r="T657" s="2509"/>
      <c r="U657" s="2509"/>
      <c r="V657" s="2509"/>
      <c r="W657" s="2509"/>
      <c r="X657" s="2509"/>
      <c r="Y657" s="2509"/>
      <c r="Z657" s="2509"/>
      <c r="AA657" s="2509"/>
      <c r="AB657" s="2509"/>
      <c r="AC657" s="2509"/>
      <c r="AD657" s="535"/>
      <c r="AE657" s="535"/>
      <c r="AF657" s="2454" t="s">
        <v>1379</v>
      </c>
      <c r="AG657" s="2454"/>
      <c r="AH657" s="2454"/>
      <c r="AI657" s="2454"/>
      <c r="AJ657" s="2454"/>
      <c r="AK657" s="2454"/>
      <c r="AL657" s="2454"/>
      <c r="AN657" s="596"/>
    </row>
    <row r="658" spans="1:42" s="549" customFormat="1" ht="12.75" customHeight="1">
      <c r="B658" s="535"/>
      <c r="C658" s="538"/>
      <c r="D658" s="535"/>
      <c r="E658" s="2509"/>
      <c r="F658" s="2509"/>
      <c r="G658" s="2509"/>
      <c r="H658" s="2509"/>
      <c r="I658" s="2509"/>
      <c r="J658" s="2509"/>
      <c r="K658" s="2509"/>
      <c r="L658" s="2509"/>
      <c r="M658" s="2509"/>
      <c r="N658" s="2509"/>
      <c r="O658" s="2509"/>
      <c r="P658" s="2509"/>
      <c r="Q658" s="2509"/>
      <c r="R658" s="2509"/>
      <c r="S658" s="2509"/>
      <c r="T658" s="2509"/>
      <c r="U658" s="2509"/>
      <c r="V658" s="2509"/>
      <c r="W658" s="2509"/>
      <c r="X658" s="2509"/>
      <c r="Y658" s="2509"/>
      <c r="Z658" s="2509"/>
      <c r="AA658" s="2509"/>
      <c r="AB658" s="2509"/>
      <c r="AC658" s="2509"/>
      <c r="AD658" s="535"/>
      <c r="AE658" s="535"/>
      <c r="AF658" s="535"/>
      <c r="AG658" s="535"/>
      <c r="AH658" s="535"/>
      <c r="AI658" s="535"/>
      <c r="AJ658" s="535"/>
      <c r="AK658" s="535"/>
      <c r="AL658" s="535"/>
      <c r="AN658" s="596"/>
    </row>
    <row r="659" spans="1:42" s="549" customFormat="1" ht="12.75" customHeight="1">
      <c r="B659" s="535"/>
      <c r="C659" s="538"/>
      <c r="D659" s="662"/>
      <c r="E659" s="2509"/>
      <c r="F659" s="2509"/>
      <c r="G659" s="2509"/>
      <c r="H659" s="2509"/>
      <c r="I659" s="2509"/>
      <c r="J659" s="2509"/>
      <c r="K659" s="2509"/>
      <c r="L659" s="2509"/>
      <c r="M659" s="2509"/>
      <c r="N659" s="2509"/>
      <c r="O659" s="2509"/>
      <c r="P659" s="2509"/>
      <c r="Q659" s="2509"/>
      <c r="R659" s="2509"/>
      <c r="S659" s="2509"/>
      <c r="T659" s="2509"/>
      <c r="U659" s="2509"/>
      <c r="V659" s="2509"/>
      <c r="W659" s="2509"/>
      <c r="X659" s="2509"/>
      <c r="Y659" s="2509"/>
      <c r="Z659" s="2509"/>
      <c r="AA659" s="2509"/>
      <c r="AB659" s="2509"/>
      <c r="AC659" s="2509"/>
      <c r="AD659" s="535"/>
      <c r="AE659" s="535"/>
      <c r="AF659" s="535"/>
      <c r="AG659" s="535"/>
      <c r="AH659" s="535"/>
      <c r="AI659" s="535"/>
      <c r="AJ659" s="535"/>
      <c r="AK659" s="535"/>
      <c r="AL659" s="535"/>
      <c r="AN659" s="596"/>
    </row>
    <row r="660" spans="1:42" s="549" customFormat="1" ht="15" customHeight="1">
      <c r="B660" s="535"/>
      <c r="C660" s="538"/>
      <c r="D660" s="535"/>
      <c r="E660" s="945"/>
      <c r="F660" s="945"/>
      <c r="G660" s="945"/>
      <c r="H660" s="945"/>
      <c r="I660" s="945"/>
      <c r="J660" s="945"/>
      <c r="K660" s="945"/>
      <c r="L660" s="945"/>
      <c r="M660" s="945"/>
      <c r="N660" s="945"/>
      <c r="O660" s="945"/>
      <c r="P660" s="945"/>
      <c r="Q660" s="945"/>
      <c r="R660" s="945"/>
      <c r="S660" s="945"/>
      <c r="T660" s="945"/>
      <c r="U660" s="945"/>
      <c r="V660" s="945"/>
      <c r="W660" s="945"/>
      <c r="X660" s="945"/>
      <c r="Y660" s="945"/>
      <c r="Z660" s="945"/>
      <c r="AA660" s="945"/>
      <c r="AB660" s="945"/>
      <c r="AC660" s="535"/>
      <c r="AD660" s="535"/>
      <c r="AE660" s="535"/>
      <c r="AF660" s="535"/>
      <c r="AG660" s="535"/>
      <c r="AH660" s="535"/>
      <c r="AI660" s="535"/>
      <c r="AJ660" s="535"/>
      <c r="AK660" s="535"/>
      <c r="AL660" s="535"/>
      <c r="AN660" s="596"/>
    </row>
    <row r="661" spans="1:42" s="549" customFormat="1" ht="12.75" customHeight="1">
      <c r="B661" s="535"/>
      <c r="C661" s="538"/>
      <c r="D661" s="662" t="s">
        <v>510</v>
      </c>
      <c r="E661" s="2509" t="s">
        <v>1420</v>
      </c>
      <c r="F661" s="2509"/>
      <c r="G661" s="2509"/>
      <c r="H661" s="2509"/>
      <c r="I661" s="2509"/>
      <c r="J661" s="2509"/>
      <c r="K661" s="2509"/>
      <c r="L661" s="2509"/>
      <c r="M661" s="2509"/>
      <c r="N661" s="2509"/>
      <c r="O661" s="2509"/>
      <c r="P661" s="2509"/>
      <c r="Q661" s="2509"/>
      <c r="R661" s="2509"/>
      <c r="S661" s="2509"/>
      <c r="T661" s="2509"/>
      <c r="U661" s="2509"/>
      <c r="V661" s="2509"/>
      <c r="W661" s="2509"/>
      <c r="X661" s="2509"/>
      <c r="Y661" s="2509"/>
      <c r="Z661" s="2509"/>
      <c r="AA661" s="2509"/>
      <c r="AB661" s="2509"/>
      <c r="AC661" s="2509"/>
      <c r="AD661" s="535"/>
      <c r="AE661" s="535"/>
      <c r="AF661" s="2454" t="s">
        <v>1400</v>
      </c>
      <c r="AG661" s="2454"/>
      <c r="AH661" s="2454"/>
      <c r="AI661" s="2454"/>
      <c r="AJ661" s="2454"/>
      <c r="AK661" s="2454"/>
      <c r="AL661" s="2454"/>
      <c r="AN661" s="596"/>
    </row>
    <row r="662" spans="1:42" s="549" customFormat="1" ht="12.75" customHeight="1">
      <c r="B662" s="535"/>
      <c r="C662" s="538"/>
      <c r="D662" s="535"/>
      <c r="E662" s="2509"/>
      <c r="F662" s="2509"/>
      <c r="G662" s="2509"/>
      <c r="H662" s="2509"/>
      <c r="I662" s="2509"/>
      <c r="J662" s="2509"/>
      <c r="K662" s="2509"/>
      <c r="L662" s="2509"/>
      <c r="M662" s="2509"/>
      <c r="N662" s="2509"/>
      <c r="O662" s="2509"/>
      <c r="P662" s="2509"/>
      <c r="Q662" s="2509"/>
      <c r="R662" s="2509"/>
      <c r="S662" s="2509"/>
      <c r="T662" s="2509"/>
      <c r="U662" s="2509"/>
      <c r="V662" s="2509"/>
      <c r="W662" s="2509"/>
      <c r="X662" s="2509"/>
      <c r="Y662" s="2509"/>
      <c r="Z662" s="2509"/>
      <c r="AA662" s="2509"/>
      <c r="AB662" s="2509"/>
      <c r="AC662" s="2509"/>
      <c r="AD662" s="535"/>
      <c r="AE662" s="535"/>
      <c r="AF662" s="535"/>
      <c r="AG662" s="535"/>
      <c r="AH662" s="535"/>
      <c r="AI662" s="535"/>
      <c r="AJ662" s="535"/>
      <c r="AK662" s="535"/>
      <c r="AL662" s="535"/>
      <c r="AN662" s="596"/>
    </row>
    <row r="663" spans="1:42" s="549" customFormat="1" ht="15" customHeight="1">
      <c r="B663" s="535"/>
      <c r="C663" s="538"/>
      <c r="D663" s="662"/>
      <c r="E663" s="2509"/>
      <c r="F663" s="2509"/>
      <c r="G663" s="2509"/>
      <c r="H663" s="2509"/>
      <c r="I663" s="2509"/>
      <c r="J663" s="2509"/>
      <c r="K663" s="2509"/>
      <c r="L663" s="2509"/>
      <c r="M663" s="2509"/>
      <c r="N663" s="2509"/>
      <c r="O663" s="2509"/>
      <c r="P663" s="2509"/>
      <c r="Q663" s="2509"/>
      <c r="R663" s="2509"/>
      <c r="S663" s="2509"/>
      <c r="T663" s="2509"/>
      <c r="U663" s="2509"/>
      <c r="V663" s="2509"/>
      <c r="W663" s="2509"/>
      <c r="X663" s="2509"/>
      <c r="Y663" s="2509"/>
      <c r="Z663" s="2509"/>
      <c r="AA663" s="2509"/>
      <c r="AB663" s="2509"/>
      <c r="AC663" s="2509"/>
      <c r="AD663" s="535"/>
      <c r="AE663" s="535"/>
      <c r="AF663" s="535"/>
      <c r="AG663" s="535"/>
      <c r="AH663" s="535"/>
      <c r="AI663" s="535"/>
      <c r="AJ663" s="535"/>
      <c r="AK663" s="535"/>
      <c r="AL663" s="535"/>
      <c r="AN663" s="596"/>
    </row>
    <row r="664" spans="1:42" s="549" customFormat="1" ht="12.75" customHeight="1">
      <c r="B664" s="535"/>
      <c r="C664" s="538"/>
      <c r="D664" s="535"/>
      <c r="E664" s="945"/>
      <c r="F664" s="945"/>
      <c r="G664" s="945"/>
      <c r="H664" s="945"/>
      <c r="I664" s="945"/>
      <c r="J664" s="945"/>
      <c r="K664" s="945"/>
      <c r="L664" s="945"/>
      <c r="M664" s="945"/>
      <c r="N664" s="945"/>
      <c r="O664" s="945"/>
      <c r="P664" s="945"/>
      <c r="Q664" s="945"/>
      <c r="R664" s="945"/>
      <c r="S664" s="945"/>
      <c r="T664" s="945"/>
      <c r="U664" s="945"/>
      <c r="V664" s="945"/>
      <c r="W664" s="945"/>
      <c r="X664" s="945"/>
      <c r="Y664" s="945"/>
      <c r="Z664" s="945"/>
      <c r="AA664" s="945"/>
      <c r="AB664" s="945"/>
      <c r="AC664" s="535"/>
      <c r="AD664" s="535"/>
      <c r="AE664" s="535"/>
      <c r="AF664" s="535"/>
      <c r="AG664" s="535"/>
      <c r="AH664" s="535"/>
      <c r="AI664" s="535"/>
      <c r="AJ664" s="535"/>
      <c r="AK664" s="535"/>
      <c r="AL664" s="535"/>
      <c r="AN664" s="596"/>
    </row>
    <row r="665" spans="1:42" s="549" customFormat="1" ht="12.75" customHeight="1">
      <c r="B665" s="535"/>
      <c r="C665" s="538"/>
      <c r="D665" s="662" t="s">
        <v>278</v>
      </c>
      <c r="E665" s="2509" t="s">
        <v>1421</v>
      </c>
      <c r="F665" s="2509"/>
      <c r="G665" s="2509"/>
      <c r="H665" s="2509"/>
      <c r="I665" s="2509"/>
      <c r="J665" s="2509"/>
      <c r="K665" s="2509"/>
      <c r="L665" s="2509"/>
      <c r="M665" s="2509"/>
      <c r="N665" s="2509"/>
      <c r="O665" s="2509"/>
      <c r="P665" s="2509"/>
      <c r="Q665" s="2509"/>
      <c r="R665" s="2509"/>
      <c r="S665" s="2509"/>
      <c r="T665" s="2509"/>
      <c r="U665" s="2509"/>
      <c r="V665" s="2509"/>
      <c r="W665" s="2509"/>
      <c r="X665" s="2509"/>
      <c r="Y665" s="2509"/>
      <c r="Z665" s="2509"/>
      <c r="AA665" s="2509"/>
      <c r="AB665" s="2509"/>
      <c r="AC665" s="2509"/>
      <c r="AD665" s="535"/>
      <c r="AE665" s="535"/>
      <c r="AF665" s="2454" t="s">
        <v>1353</v>
      </c>
      <c r="AG665" s="2454"/>
      <c r="AH665" s="2454"/>
      <c r="AI665" s="2454"/>
      <c r="AJ665" s="2454"/>
      <c r="AK665" s="2454"/>
      <c r="AL665" s="2454"/>
      <c r="AN665" s="596"/>
    </row>
    <row r="666" spans="1:42" s="549" customFormat="1" ht="12.75" customHeight="1">
      <c r="B666" s="535"/>
      <c r="C666" s="930"/>
      <c r="D666" s="535"/>
      <c r="E666" s="2509"/>
      <c r="F666" s="2509"/>
      <c r="G666" s="2509"/>
      <c r="H666" s="2509"/>
      <c r="I666" s="2509"/>
      <c r="J666" s="2509"/>
      <c r="K666" s="2509"/>
      <c r="L666" s="2509"/>
      <c r="M666" s="2509"/>
      <c r="N666" s="2509"/>
      <c r="O666" s="2509"/>
      <c r="P666" s="2509"/>
      <c r="Q666" s="2509"/>
      <c r="R666" s="2509"/>
      <c r="S666" s="2509"/>
      <c r="T666" s="2509"/>
      <c r="U666" s="2509"/>
      <c r="V666" s="2509"/>
      <c r="W666" s="2509"/>
      <c r="X666" s="2509"/>
      <c r="Y666" s="2509"/>
      <c r="Z666" s="2509"/>
      <c r="AA666" s="2509"/>
      <c r="AB666" s="2509"/>
      <c r="AC666" s="2509"/>
      <c r="AD666" s="535"/>
      <c r="AE666" s="2454"/>
      <c r="AF666" s="2454"/>
      <c r="AG666" s="2454"/>
      <c r="AH666" s="2454"/>
      <c r="AI666" s="2454"/>
      <c r="AJ666" s="2454"/>
      <c r="AK666" s="2454"/>
      <c r="AL666" s="593"/>
      <c r="AN666" s="596"/>
      <c r="AO666" s="549" t="s">
        <v>592</v>
      </c>
      <c r="AP666" s="672">
        <v>0</v>
      </c>
    </row>
    <row r="667" spans="1:42" s="549" customFormat="1" ht="12.75" customHeight="1">
      <c r="A667" s="678"/>
      <c r="B667" s="535"/>
      <c r="C667" s="535"/>
      <c r="D667" s="662"/>
      <c r="E667" s="2509"/>
      <c r="F667" s="2509"/>
      <c r="G667" s="2509"/>
      <c r="H667" s="2509"/>
      <c r="I667" s="2509"/>
      <c r="J667" s="2509"/>
      <c r="K667" s="2509"/>
      <c r="L667" s="2509"/>
      <c r="M667" s="2509"/>
      <c r="N667" s="2509"/>
      <c r="O667" s="2509"/>
      <c r="P667" s="2509"/>
      <c r="Q667" s="2509"/>
      <c r="R667" s="2509"/>
      <c r="S667" s="2509"/>
      <c r="T667" s="2509"/>
      <c r="U667" s="2509"/>
      <c r="V667" s="2509"/>
      <c r="W667" s="2509"/>
      <c r="X667" s="2509"/>
      <c r="Y667" s="2509"/>
      <c r="Z667" s="2509"/>
      <c r="AA667" s="2509"/>
      <c r="AB667" s="2509"/>
      <c r="AC667" s="2509"/>
      <c r="AD667" s="535"/>
      <c r="AE667" s="535"/>
      <c r="AF667" s="535"/>
      <c r="AG667" s="535"/>
      <c r="AH667" s="535"/>
      <c r="AI667" s="535"/>
      <c r="AJ667" s="535"/>
      <c r="AK667" s="535"/>
      <c r="AL667" s="535"/>
      <c r="AN667" s="596"/>
      <c r="AO667" s="610" t="s">
        <v>688</v>
      </c>
      <c r="AP667" s="549">
        <v>3</v>
      </c>
    </row>
    <row r="668" spans="1:42" s="549" customFormat="1" ht="12.75" customHeight="1">
      <c r="B668" s="535"/>
      <c r="C668" s="930"/>
      <c r="D668" s="662"/>
      <c r="E668" s="574"/>
      <c r="F668" s="574"/>
      <c r="G668" s="574"/>
      <c r="H668" s="574"/>
      <c r="I668" s="574"/>
      <c r="J668" s="574"/>
      <c r="K668" s="574"/>
      <c r="L668" s="574"/>
      <c r="M668" s="574"/>
      <c r="N668" s="574"/>
      <c r="O668" s="574"/>
      <c r="P668" s="574"/>
      <c r="Q668" s="574"/>
      <c r="R668" s="574"/>
      <c r="S668" s="574"/>
      <c r="T668" s="574"/>
      <c r="U668" s="574"/>
      <c r="V668" s="574"/>
      <c r="W668" s="574"/>
      <c r="X668" s="574"/>
      <c r="Y668" s="574"/>
      <c r="Z668" s="574"/>
      <c r="AA668" s="574"/>
      <c r="AB668" s="574"/>
      <c r="AC668" s="535"/>
      <c r="AD668" s="535"/>
      <c r="AE668" s="535"/>
      <c r="AF668" s="535"/>
      <c r="AG668" s="535"/>
      <c r="AH668" s="535"/>
      <c r="AI668" s="535"/>
      <c r="AJ668" s="535"/>
      <c r="AK668" s="535"/>
      <c r="AL668" s="535"/>
      <c r="AN668" s="596"/>
      <c r="AO668" s="610" t="s">
        <v>510</v>
      </c>
      <c r="AP668" s="549">
        <v>2</v>
      </c>
    </row>
    <row r="669" spans="1:42" s="549" customFormat="1" ht="12.75" customHeight="1">
      <c r="A669" s="669"/>
      <c r="B669" s="535"/>
      <c r="C669" s="946"/>
      <c r="D669" s="662" t="s">
        <v>1398</v>
      </c>
      <c r="E669" s="2509" t="s">
        <v>1422</v>
      </c>
      <c r="F669" s="2509"/>
      <c r="G669" s="2509"/>
      <c r="H669" s="2509"/>
      <c r="I669" s="2509"/>
      <c r="J669" s="2509"/>
      <c r="K669" s="2509"/>
      <c r="L669" s="2509"/>
      <c r="M669" s="2509"/>
      <c r="N669" s="2509"/>
      <c r="O669" s="2509"/>
      <c r="P669" s="2509"/>
      <c r="Q669" s="2509"/>
      <c r="R669" s="2509"/>
      <c r="S669" s="2509"/>
      <c r="T669" s="2509"/>
      <c r="U669" s="2509"/>
      <c r="V669" s="2509"/>
      <c r="W669" s="2509"/>
      <c r="X669" s="2509"/>
      <c r="Y669" s="2509"/>
      <c r="Z669" s="2509"/>
      <c r="AA669" s="2509"/>
      <c r="AB669" s="2509"/>
      <c r="AC669" s="2509"/>
      <c r="AD669" s="535"/>
      <c r="AE669" s="535"/>
      <c r="AF669" s="2454" t="s">
        <v>1400</v>
      </c>
      <c r="AG669" s="2454"/>
      <c r="AH669" s="2454"/>
      <c r="AI669" s="2454"/>
      <c r="AJ669" s="2454"/>
      <c r="AK669" s="2454"/>
      <c r="AL669" s="2454"/>
      <c r="AN669" s="596"/>
    </row>
    <row r="670" spans="1:42" s="549" customFormat="1" ht="12.75" customHeight="1">
      <c r="A670" s="669"/>
      <c r="B670" s="535"/>
      <c r="C670" s="946"/>
      <c r="D670" s="662"/>
      <c r="E670" s="2509"/>
      <c r="F670" s="2509"/>
      <c r="G670" s="2509"/>
      <c r="H670" s="2509"/>
      <c r="I670" s="2509"/>
      <c r="J670" s="2509"/>
      <c r="K670" s="2509"/>
      <c r="L670" s="2509"/>
      <c r="M670" s="2509"/>
      <c r="N670" s="2509"/>
      <c r="O670" s="2509"/>
      <c r="P670" s="2509"/>
      <c r="Q670" s="2509"/>
      <c r="R670" s="2509"/>
      <c r="S670" s="2509"/>
      <c r="T670" s="2509"/>
      <c r="U670" s="2509"/>
      <c r="V670" s="2509"/>
      <c r="W670" s="2509"/>
      <c r="X670" s="2509"/>
      <c r="Y670" s="2509"/>
      <c r="Z670" s="2509"/>
      <c r="AA670" s="2509"/>
      <c r="AB670" s="2509"/>
      <c r="AC670" s="2509"/>
      <c r="AD670" s="535"/>
      <c r="AE670" s="593"/>
      <c r="AF670" s="593"/>
      <c r="AG670" s="593"/>
      <c r="AH670" s="593"/>
      <c r="AI670" s="593"/>
      <c r="AJ670" s="593"/>
      <c r="AK670" s="593"/>
      <c r="AL670" s="593"/>
      <c r="AM670" s="595"/>
      <c r="AN670" s="596"/>
    </row>
    <row r="671" spans="1:42" s="549" customFormat="1" ht="12.75" customHeight="1">
      <c r="A671" s="669"/>
      <c r="B671" s="535"/>
      <c r="C671" s="946"/>
      <c r="D671" s="662"/>
      <c r="E671" s="2509"/>
      <c r="F671" s="2509"/>
      <c r="G671" s="2509"/>
      <c r="H671" s="2509"/>
      <c r="I671" s="2509"/>
      <c r="J671" s="2509"/>
      <c r="K671" s="2509"/>
      <c r="L671" s="2509"/>
      <c r="M671" s="2509"/>
      <c r="N671" s="2509"/>
      <c r="O671" s="2509"/>
      <c r="P671" s="2509"/>
      <c r="Q671" s="2509"/>
      <c r="R671" s="2509"/>
      <c r="S671" s="2509"/>
      <c r="T671" s="2509"/>
      <c r="U671" s="2509"/>
      <c r="V671" s="2509"/>
      <c r="W671" s="2509"/>
      <c r="X671" s="2509"/>
      <c r="Y671" s="2509"/>
      <c r="Z671" s="2509"/>
      <c r="AA671" s="2509"/>
      <c r="AB671" s="2509"/>
      <c r="AC671" s="2509"/>
      <c r="AD671" s="535"/>
      <c r="AE671" s="593"/>
      <c r="AF671" s="593"/>
      <c r="AG671" s="593"/>
      <c r="AH671" s="593"/>
      <c r="AI671" s="593"/>
      <c r="AJ671" s="593"/>
      <c r="AK671" s="593"/>
      <c r="AL671" s="593"/>
      <c r="AM671" s="595"/>
      <c r="AN671" s="596"/>
    </row>
    <row r="672" spans="1:42" s="549" customFormat="1" ht="12.75" customHeight="1">
      <c r="B672" s="535"/>
      <c r="C672" s="930"/>
      <c r="D672" s="662"/>
      <c r="E672" s="641"/>
      <c r="F672" s="641"/>
      <c r="G672" s="641"/>
      <c r="H672" s="641"/>
      <c r="I672" s="641"/>
      <c r="J672" s="641"/>
      <c r="K672" s="641"/>
      <c r="L672" s="641"/>
      <c r="M672" s="641"/>
      <c r="N672" s="641"/>
      <c r="O672" s="641"/>
      <c r="P672" s="641"/>
      <c r="Q672" s="641"/>
      <c r="R672" s="641"/>
      <c r="S672" s="641"/>
      <c r="T672" s="641"/>
      <c r="U672" s="641"/>
      <c r="V672" s="641"/>
      <c r="W672" s="641"/>
      <c r="X672" s="641"/>
      <c r="Y672" s="641"/>
      <c r="Z672" s="641"/>
      <c r="AA672" s="641"/>
      <c r="AB672" s="641"/>
      <c r="AC672" s="538"/>
      <c r="AD672" s="538"/>
      <c r="AE672" s="535"/>
      <c r="AF672" s="535"/>
      <c r="AG672" s="535"/>
      <c r="AH672" s="535"/>
      <c r="AI672" s="535"/>
      <c r="AJ672" s="535"/>
      <c r="AK672" s="535"/>
      <c r="AL672" s="593"/>
      <c r="AM672" s="595"/>
      <c r="AN672" s="596"/>
    </row>
    <row r="673" spans="1:42" s="549" customFormat="1" ht="12.75" customHeight="1">
      <c r="B673" s="535"/>
      <c r="C673" s="930"/>
      <c r="D673" s="662" t="s">
        <v>1399</v>
      </c>
      <c r="E673" s="2509" t="s">
        <v>1423</v>
      </c>
      <c r="F673" s="2509"/>
      <c r="G673" s="2509"/>
      <c r="H673" s="2509"/>
      <c r="I673" s="2509"/>
      <c r="J673" s="2509"/>
      <c r="K673" s="2509"/>
      <c r="L673" s="2509"/>
      <c r="M673" s="2509"/>
      <c r="N673" s="2509"/>
      <c r="O673" s="2509"/>
      <c r="P673" s="2509"/>
      <c r="Q673" s="2509"/>
      <c r="R673" s="2509"/>
      <c r="S673" s="2509"/>
      <c r="T673" s="2509"/>
      <c r="U673" s="2509"/>
      <c r="V673" s="2509"/>
      <c r="W673" s="2509"/>
      <c r="X673" s="2509"/>
      <c r="Y673" s="2509"/>
      <c r="Z673" s="2509"/>
      <c r="AA673" s="2509"/>
      <c r="AB673" s="2509"/>
      <c r="AC673" s="2509"/>
      <c r="AD673" s="535"/>
      <c r="AE673" s="535"/>
      <c r="AF673" s="2454" t="s">
        <v>1353</v>
      </c>
      <c r="AG673" s="2454"/>
      <c r="AH673" s="2454"/>
      <c r="AI673" s="2454"/>
      <c r="AJ673" s="2454"/>
      <c r="AK673" s="2454"/>
      <c r="AL673" s="2454"/>
      <c r="AM673" s="595"/>
      <c r="AN673" s="596"/>
    </row>
    <row r="674" spans="1:42" s="549" customFormat="1" ht="12.75" customHeight="1">
      <c r="B674" s="535"/>
      <c r="C674" s="930"/>
      <c r="D674" s="662"/>
      <c r="E674" s="2509"/>
      <c r="F674" s="2509"/>
      <c r="G674" s="2509"/>
      <c r="H674" s="2509"/>
      <c r="I674" s="2509"/>
      <c r="J674" s="2509"/>
      <c r="K674" s="2509"/>
      <c r="L674" s="2509"/>
      <c r="M674" s="2509"/>
      <c r="N674" s="2509"/>
      <c r="O674" s="2509"/>
      <c r="P674" s="2509"/>
      <c r="Q674" s="2509"/>
      <c r="R674" s="2509"/>
      <c r="S674" s="2509"/>
      <c r="T674" s="2509"/>
      <c r="U674" s="2509"/>
      <c r="V674" s="2509"/>
      <c r="W674" s="2509"/>
      <c r="X674" s="2509"/>
      <c r="Y674" s="2509"/>
      <c r="Z674" s="2509"/>
      <c r="AA674" s="2509"/>
      <c r="AB674" s="2509"/>
      <c r="AC674" s="2509"/>
      <c r="AD674" s="535"/>
      <c r="AE674" s="535"/>
      <c r="AF674" s="535"/>
      <c r="AG674" s="535"/>
      <c r="AH674" s="535"/>
      <c r="AI674" s="535"/>
      <c r="AJ674" s="535"/>
      <c r="AK674" s="535"/>
      <c r="AL674" s="535"/>
      <c r="AM674" s="595"/>
      <c r="AN674" s="596"/>
    </row>
    <row r="675" spans="1:42" s="549" customFormat="1" ht="12.75" customHeight="1">
      <c r="B675" s="535"/>
      <c r="C675" s="930"/>
      <c r="D675" s="662"/>
      <c r="E675" s="2509"/>
      <c r="F675" s="2509"/>
      <c r="G675" s="2509"/>
      <c r="H675" s="2509"/>
      <c r="I675" s="2509"/>
      <c r="J675" s="2509"/>
      <c r="K675" s="2509"/>
      <c r="L675" s="2509"/>
      <c r="M675" s="2509"/>
      <c r="N675" s="2509"/>
      <c r="O675" s="2509"/>
      <c r="P675" s="2509"/>
      <c r="Q675" s="2509"/>
      <c r="R675" s="2509"/>
      <c r="S675" s="2509"/>
      <c r="T675" s="2509"/>
      <c r="U675" s="2509"/>
      <c r="V675" s="2509"/>
      <c r="W675" s="2509"/>
      <c r="X675" s="2509"/>
      <c r="Y675" s="2509"/>
      <c r="Z675" s="2509"/>
      <c r="AA675" s="2509"/>
      <c r="AB675" s="2509"/>
      <c r="AC675" s="2509"/>
      <c r="AD675" s="535"/>
      <c r="AE675" s="535"/>
      <c r="AF675" s="535"/>
      <c r="AG675" s="535"/>
      <c r="AH675" s="535"/>
      <c r="AI675" s="535"/>
      <c r="AJ675" s="535"/>
      <c r="AK675" s="535"/>
      <c r="AL675" s="535"/>
      <c r="AM675" s="595"/>
      <c r="AN675" s="596"/>
    </row>
    <row r="676" spans="1:42" s="549" customFormat="1" ht="12.75" customHeight="1">
      <c r="B676" s="535"/>
      <c r="C676" s="930"/>
      <c r="D676" s="662"/>
      <c r="E676" s="535"/>
      <c r="F676" s="535"/>
      <c r="G676" s="535"/>
      <c r="H676" s="535"/>
      <c r="I676" s="535"/>
      <c r="J676" s="535"/>
      <c r="K676" s="535"/>
      <c r="L676" s="535"/>
      <c r="M676" s="535"/>
      <c r="N676" s="535"/>
      <c r="O676" s="535"/>
      <c r="P676" s="535"/>
      <c r="Q676" s="535"/>
      <c r="R676" s="535"/>
      <c r="S676" s="535"/>
      <c r="T676" s="535"/>
      <c r="U676" s="535"/>
      <c r="V676" s="535"/>
      <c r="W676" s="535"/>
      <c r="X676" s="535"/>
      <c r="Y676" s="535"/>
      <c r="Z676" s="535"/>
      <c r="AA676" s="535"/>
      <c r="AB676" s="535"/>
      <c r="AC676" s="535"/>
      <c r="AD676" s="535"/>
      <c r="AE676" s="535"/>
      <c r="AF676" s="535"/>
      <c r="AG676" s="535"/>
      <c r="AH676" s="535"/>
      <c r="AI676" s="535"/>
      <c r="AJ676" s="535"/>
      <c r="AK676" s="535"/>
      <c r="AL676" s="535"/>
      <c r="AM676" s="595"/>
      <c r="AN676" s="596"/>
    </row>
    <row r="677" spans="1:42" s="549" customFormat="1" ht="12.75" customHeight="1">
      <c r="A677" s="678"/>
      <c r="B677" s="535"/>
      <c r="C677" s="930"/>
      <c r="D677" s="662" t="s">
        <v>1410</v>
      </c>
      <c r="E677" s="2509" t="s">
        <v>1424</v>
      </c>
      <c r="F677" s="2509"/>
      <c r="G677" s="2509"/>
      <c r="H677" s="2509"/>
      <c r="I677" s="2509"/>
      <c r="J677" s="2509"/>
      <c r="K677" s="2509"/>
      <c r="L677" s="2509"/>
      <c r="M677" s="2509"/>
      <c r="N677" s="2509"/>
      <c r="O677" s="2509"/>
      <c r="P677" s="2509"/>
      <c r="Q677" s="2509"/>
      <c r="R677" s="2509"/>
      <c r="S677" s="2509"/>
      <c r="T677" s="2509"/>
      <c r="U677" s="2509"/>
      <c r="V677" s="2509"/>
      <c r="W677" s="2509"/>
      <c r="X677" s="2509"/>
      <c r="Y677" s="2509"/>
      <c r="Z677" s="2509"/>
      <c r="AA677" s="2509"/>
      <c r="AB677" s="2509"/>
      <c r="AC677" s="2509"/>
      <c r="AD677" s="535"/>
      <c r="AE677" s="535"/>
      <c r="AF677" s="2454" t="s">
        <v>1409</v>
      </c>
      <c r="AG677" s="2454"/>
      <c r="AH677" s="2454"/>
      <c r="AI677" s="2454"/>
      <c r="AJ677" s="2454"/>
      <c r="AK677" s="2454"/>
      <c r="AL677" s="2454"/>
      <c r="AM677" s="595"/>
      <c r="AN677" s="596"/>
    </row>
    <row r="678" spans="1:42" s="549" customFormat="1" ht="12.75" customHeight="1">
      <c r="A678" s="678"/>
      <c r="B678" s="535"/>
      <c r="C678" s="930"/>
      <c r="D678" s="662"/>
      <c r="E678" s="2509"/>
      <c r="F678" s="2509"/>
      <c r="G678" s="2509"/>
      <c r="H678" s="2509"/>
      <c r="I678" s="2509"/>
      <c r="J678" s="2509"/>
      <c r="K678" s="2509"/>
      <c r="L678" s="2509"/>
      <c r="M678" s="2509"/>
      <c r="N678" s="2509"/>
      <c r="O678" s="2509"/>
      <c r="P678" s="2509"/>
      <c r="Q678" s="2509"/>
      <c r="R678" s="2509"/>
      <c r="S678" s="2509"/>
      <c r="T678" s="2509"/>
      <c r="U678" s="2509"/>
      <c r="V678" s="2509"/>
      <c r="W678" s="2509"/>
      <c r="X678" s="2509"/>
      <c r="Y678" s="2509"/>
      <c r="Z678" s="2509"/>
      <c r="AA678" s="2509"/>
      <c r="AB678" s="2509"/>
      <c r="AC678" s="2509"/>
      <c r="AD678" s="535"/>
      <c r="AE678" s="535"/>
      <c r="AF678" s="593"/>
      <c r="AG678" s="593"/>
      <c r="AH678" s="593"/>
      <c r="AI678" s="593"/>
      <c r="AJ678" s="593"/>
      <c r="AK678" s="593"/>
      <c r="AL678" s="593"/>
      <c r="AM678" s="595"/>
      <c r="AN678" s="596"/>
    </row>
    <row r="679" spans="1:42" s="549" customFormat="1" ht="12.75" customHeight="1">
      <c r="A679" s="678"/>
      <c r="B679" s="535"/>
      <c r="C679" s="930"/>
      <c r="D679" s="662"/>
      <c r="E679" s="2509"/>
      <c r="F679" s="2509"/>
      <c r="G679" s="2509"/>
      <c r="H679" s="2509"/>
      <c r="I679" s="2509"/>
      <c r="J679" s="2509"/>
      <c r="K679" s="2509"/>
      <c r="L679" s="2509"/>
      <c r="M679" s="2509"/>
      <c r="N679" s="2509"/>
      <c r="O679" s="2509"/>
      <c r="P679" s="2509"/>
      <c r="Q679" s="2509"/>
      <c r="R679" s="2509"/>
      <c r="S679" s="2509"/>
      <c r="T679" s="2509"/>
      <c r="U679" s="2509"/>
      <c r="V679" s="2509"/>
      <c r="W679" s="2509"/>
      <c r="X679" s="2509"/>
      <c r="Y679" s="2509"/>
      <c r="Z679" s="2509"/>
      <c r="AA679" s="2509"/>
      <c r="AB679" s="2509"/>
      <c r="AC679" s="2509"/>
      <c r="AD679" s="535"/>
      <c r="AE679" s="593"/>
      <c r="AF679" s="593"/>
      <c r="AG679" s="593"/>
      <c r="AH679" s="593"/>
      <c r="AI679" s="593"/>
      <c r="AJ679" s="593"/>
      <c r="AK679" s="593"/>
      <c r="AL679" s="593"/>
      <c r="AM679" s="595"/>
      <c r="AN679" s="596"/>
    </row>
    <row r="680" spans="1:42" s="549" customFormat="1" ht="12.75" customHeight="1">
      <c r="A680" s="678"/>
      <c r="B680" s="535"/>
      <c r="C680" s="930"/>
      <c r="D680" s="662"/>
      <c r="E680" s="641"/>
      <c r="F680" s="641"/>
      <c r="G680" s="641"/>
      <c r="H680" s="641"/>
      <c r="I680" s="641"/>
      <c r="J680" s="641"/>
      <c r="K680" s="641"/>
      <c r="L680" s="641"/>
      <c r="M680" s="641"/>
      <c r="N680" s="641"/>
      <c r="O680" s="641"/>
      <c r="P680" s="641"/>
      <c r="Q680" s="641"/>
      <c r="R680" s="641"/>
      <c r="S680" s="641"/>
      <c r="T680" s="641"/>
      <c r="U680" s="641"/>
      <c r="V680" s="641"/>
      <c r="W680" s="641"/>
      <c r="X680" s="641"/>
      <c r="Y680" s="641"/>
      <c r="Z680" s="641"/>
      <c r="AA680" s="641"/>
      <c r="AB680" s="641"/>
      <c r="AC680" s="641"/>
      <c r="AD680" s="535"/>
      <c r="AE680" s="593"/>
      <c r="AF680" s="535"/>
      <c r="AG680" s="535"/>
      <c r="AH680" s="535"/>
      <c r="AI680" s="535"/>
      <c r="AJ680" s="535"/>
      <c r="AK680" s="535"/>
      <c r="AL680" s="535"/>
      <c r="AM680" s="595"/>
      <c r="AN680" s="596"/>
      <c r="AO680" s="549" t="s">
        <v>592</v>
      </c>
      <c r="AP680" s="636">
        <v>0</v>
      </c>
    </row>
    <row r="681" spans="1:42" s="549" customFormat="1" ht="12.75" customHeight="1">
      <c r="A681" s="678"/>
      <c r="B681" s="535"/>
      <c r="C681" s="930"/>
      <c r="D681" s="662" t="s">
        <v>1412</v>
      </c>
      <c r="E681" s="2509" t="s">
        <v>1425</v>
      </c>
      <c r="F681" s="2509"/>
      <c r="G681" s="2509"/>
      <c r="H681" s="2509"/>
      <c r="I681" s="2509"/>
      <c r="J681" s="2509"/>
      <c r="K681" s="2509"/>
      <c r="L681" s="2509"/>
      <c r="M681" s="2509"/>
      <c r="N681" s="2509"/>
      <c r="O681" s="2509"/>
      <c r="P681" s="2509"/>
      <c r="Q681" s="2509"/>
      <c r="R681" s="2509"/>
      <c r="S681" s="2509"/>
      <c r="T681" s="2509"/>
      <c r="U681" s="2509"/>
      <c r="V681" s="2509"/>
      <c r="W681" s="2509"/>
      <c r="X681" s="2509"/>
      <c r="Y681" s="2509"/>
      <c r="Z681" s="2509"/>
      <c r="AA681" s="2509"/>
      <c r="AB681" s="2509"/>
      <c r="AC681" s="2509"/>
      <c r="AD681" s="535"/>
      <c r="AE681" s="535"/>
      <c r="AF681" s="2454" t="s">
        <v>1426</v>
      </c>
      <c r="AG681" s="2454"/>
      <c r="AH681" s="2454"/>
      <c r="AI681" s="2454"/>
      <c r="AJ681" s="2454"/>
      <c r="AK681" s="2454"/>
      <c r="AL681" s="2454"/>
      <c r="AM681" s="595"/>
      <c r="AN681" s="596"/>
      <c r="AO681" s="610" t="s">
        <v>688</v>
      </c>
      <c r="AP681" s="549">
        <v>3</v>
      </c>
    </row>
    <row r="682" spans="1:42" s="549" customFormat="1" ht="12.75" customHeight="1">
      <c r="A682" s="678"/>
      <c r="B682" s="535"/>
      <c r="C682" s="930"/>
      <c r="D682" s="662"/>
      <c r="E682" s="2509"/>
      <c r="F682" s="2509"/>
      <c r="G682" s="2509"/>
      <c r="H682" s="2509"/>
      <c r="I682" s="2509"/>
      <c r="J682" s="2509"/>
      <c r="K682" s="2509"/>
      <c r="L682" s="2509"/>
      <c r="M682" s="2509"/>
      <c r="N682" s="2509"/>
      <c r="O682" s="2509"/>
      <c r="P682" s="2509"/>
      <c r="Q682" s="2509"/>
      <c r="R682" s="2509"/>
      <c r="S682" s="2509"/>
      <c r="T682" s="2509"/>
      <c r="U682" s="2509"/>
      <c r="V682" s="2509"/>
      <c r="W682" s="2509"/>
      <c r="X682" s="2509"/>
      <c r="Y682" s="2509"/>
      <c r="Z682" s="2509"/>
      <c r="AA682" s="2509"/>
      <c r="AB682" s="2509"/>
      <c r="AC682" s="2509"/>
      <c r="AD682" s="535"/>
      <c r="AE682" s="535"/>
      <c r="AF682" s="593"/>
      <c r="AG682" s="593"/>
      <c r="AH682" s="593"/>
      <c r="AI682" s="593"/>
      <c r="AJ682" s="593"/>
      <c r="AK682" s="593"/>
      <c r="AL682" s="593"/>
      <c r="AM682" s="595"/>
      <c r="AN682" s="596"/>
      <c r="AO682" s="610" t="s">
        <v>510</v>
      </c>
      <c r="AP682" s="549">
        <v>2</v>
      </c>
    </row>
    <row r="683" spans="1:42" s="549" customFormat="1" ht="12.75" customHeight="1">
      <c r="A683" s="678"/>
      <c r="B683" s="535"/>
      <c r="C683" s="930"/>
      <c r="D683" s="662"/>
      <c r="E683" s="2509"/>
      <c r="F683" s="2509"/>
      <c r="G683" s="2509"/>
      <c r="H683" s="2509"/>
      <c r="I683" s="2509"/>
      <c r="J683" s="2509"/>
      <c r="K683" s="2509"/>
      <c r="L683" s="2509"/>
      <c r="M683" s="2509"/>
      <c r="N683" s="2509"/>
      <c r="O683" s="2509"/>
      <c r="P683" s="2509"/>
      <c r="Q683" s="2509"/>
      <c r="R683" s="2509"/>
      <c r="S683" s="2509"/>
      <c r="T683" s="2509"/>
      <c r="U683" s="2509"/>
      <c r="V683" s="2509"/>
      <c r="W683" s="2509"/>
      <c r="X683" s="2509"/>
      <c r="Y683" s="2509"/>
      <c r="Z683" s="2509"/>
      <c r="AA683" s="2509"/>
      <c r="AB683" s="2509"/>
      <c r="AC683" s="2509"/>
      <c r="AD683" s="535"/>
      <c r="AE683" s="593"/>
      <c r="AF683" s="593"/>
      <c r="AG683" s="593"/>
      <c r="AH683" s="593"/>
      <c r="AI683" s="593"/>
      <c r="AJ683" s="593"/>
      <c r="AK683" s="593"/>
      <c r="AL683" s="593"/>
      <c r="AM683" s="595"/>
      <c r="AN683" s="596"/>
    </row>
    <row r="684" spans="1:42" s="549" customFormat="1" ht="12.75" customHeight="1">
      <c r="A684" s="669"/>
      <c r="B684" s="535"/>
      <c r="C684" s="946"/>
      <c r="D684" s="662"/>
      <c r="E684" s="642"/>
      <c r="F684" s="642"/>
      <c r="G684" s="642"/>
      <c r="H684" s="642"/>
      <c r="I684" s="642"/>
      <c r="J684" s="642"/>
      <c r="K684" s="642"/>
      <c r="L684" s="642"/>
      <c r="M684" s="642"/>
      <c r="N684" s="642"/>
      <c r="O684" s="642"/>
      <c r="P684" s="642"/>
      <c r="Q684" s="642"/>
      <c r="R684" s="642"/>
      <c r="S684" s="642"/>
      <c r="T684" s="642"/>
      <c r="U684" s="642"/>
      <c r="V684" s="642"/>
      <c r="W684" s="642"/>
      <c r="X684" s="642"/>
      <c r="Y684" s="642"/>
      <c r="Z684" s="642"/>
      <c r="AA684" s="642"/>
      <c r="AB684" s="642"/>
      <c r="AC684" s="642"/>
      <c r="AD684" s="535"/>
      <c r="AE684" s="593"/>
      <c r="AF684" s="593"/>
      <c r="AG684" s="593"/>
      <c r="AH684" s="593"/>
      <c r="AI684" s="593"/>
      <c r="AJ684" s="593"/>
      <c r="AK684" s="593"/>
      <c r="AL684" s="593"/>
      <c r="AM684" s="595"/>
      <c r="AN684" s="596"/>
    </row>
    <row r="685" spans="1:42" s="549" customFormat="1" ht="12.75" customHeight="1">
      <c r="A685" s="678"/>
      <c r="B685" s="535"/>
      <c r="C685" s="930"/>
      <c r="D685" s="535" t="s">
        <v>1401</v>
      </c>
      <c r="E685" s="935"/>
      <c r="F685" s="935"/>
      <c r="G685" s="935"/>
      <c r="H685" s="2538" t="s">
        <v>510</v>
      </c>
      <c r="I685" s="2538"/>
      <c r="J685" s="615"/>
      <c r="K685" s="615"/>
      <c r="L685" s="535"/>
      <c r="M685" s="535"/>
      <c r="N685" s="535"/>
      <c r="O685" s="535"/>
      <c r="P685" s="535"/>
      <c r="Q685" s="535"/>
      <c r="R685" s="535"/>
      <c r="S685" s="535"/>
      <c r="T685" s="535"/>
      <c r="U685" s="535"/>
      <c r="V685" s="535"/>
      <c r="W685" s="535"/>
      <c r="X685" s="535"/>
      <c r="Y685" s="535"/>
      <c r="Z685" s="535"/>
      <c r="AA685" s="535"/>
      <c r="AB685" s="535"/>
      <c r="AC685" s="535"/>
      <c r="AD685" s="535"/>
      <c r="AE685" s="535"/>
      <c r="AF685" s="535"/>
      <c r="AG685" s="535"/>
      <c r="AH685" s="535"/>
      <c r="AI685" s="535"/>
      <c r="AJ685" s="535"/>
      <c r="AK685" s="535"/>
      <c r="AL685" s="535"/>
      <c r="AN685" s="596"/>
    </row>
    <row r="686" spans="1:42" s="549" customFormat="1" ht="12.75" customHeight="1">
      <c r="A686" s="678"/>
      <c r="B686" s="535"/>
      <c r="C686" s="930"/>
      <c r="D686" s="535"/>
      <c r="E686" s="935"/>
      <c r="F686" s="935"/>
      <c r="G686" s="615"/>
      <c r="H686" s="615"/>
      <c r="I686" s="615"/>
      <c r="J686" s="615"/>
      <c r="K686" s="615"/>
      <c r="L686" s="615"/>
      <c r="M686" s="615"/>
      <c r="N686" s="615"/>
      <c r="O686" s="615"/>
      <c r="P686" s="615"/>
      <c r="Q686" s="615"/>
      <c r="R686" s="615"/>
      <c r="S686" s="615"/>
      <c r="T686" s="615"/>
      <c r="U686" s="615"/>
      <c r="V686" s="615"/>
      <c r="W686" s="615"/>
      <c r="X686" s="615"/>
      <c r="Y686" s="615"/>
      <c r="Z686" s="935"/>
      <c r="AA686" s="935"/>
      <c r="AB686" s="935"/>
      <c r="AC686" s="535"/>
      <c r="AD686" s="535"/>
      <c r="AE686" s="535"/>
      <c r="AF686" s="535"/>
      <c r="AG686" s="615"/>
      <c r="AH686" s="615"/>
      <c r="AI686" s="615"/>
      <c r="AJ686" s="615"/>
      <c r="AK686" s="615"/>
      <c r="AL686" s="615"/>
      <c r="AM686" s="550"/>
      <c r="AN686" s="596"/>
    </row>
    <row r="687" spans="1:42" s="549" customFormat="1" ht="12.75" customHeight="1">
      <c r="A687" s="682"/>
      <c r="B687" s="600"/>
      <c r="C687" s="943"/>
      <c r="D687" s="600"/>
      <c r="E687" s="938"/>
      <c r="F687" s="664"/>
      <c r="G687" s="664"/>
      <c r="H687" s="664"/>
      <c r="I687" s="664"/>
      <c r="J687" s="664"/>
      <c r="K687" s="664"/>
      <c r="L687" s="664"/>
      <c r="M687" s="664"/>
      <c r="N687" s="664"/>
      <c r="O687" s="664"/>
      <c r="P687" s="664"/>
      <c r="Q687" s="664"/>
      <c r="R687" s="664"/>
      <c r="S687" s="664"/>
      <c r="T687" s="664"/>
      <c r="U687" s="664"/>
      <c r="V687" s="664"/>
      <c r="W687" s="664"/>
      <c r="X687" s="664"/>
      <c r="Y687" s="938"/>
      <c r="Z687" s="938"/>
      <c r="AA687" s="938"/>
      <c r="AB687" s="600"/>
      <c r="AC687" s="600"/>
      <c r="AD687" s="600"/>
      <c r="AE687" s="600"/>
      <c r="AF687" s="600"/>
      <c r="AG687" s="600"/>
      <c r="AH687" s="600"/>
      <c r="AI687" s="564" t="s">
        <v>1427</v>
      </c>
      <c r="AJ687" s="2489">
        <f>VLOOKUP($H$685,$AO$633:$AP$640,2,FALSE)</f>
        <v>4</v>
      </c>
      <c r="AK687" s="2491"/>
      <c r="AL687" s="594"/>
      <c r="AN687" s="596"/>
    </row>
    <row r="688" spans="1:42" s="549" customFormat="1" ht="12.75" customHeight="1">
      <c r="A688" s="678"/>
      <c r="B688" s="535"/>
      <c r="C688" s="930"/>
      <c r="D688" s="535"/>
      <c r="E688" s="615"/>
      <c r="F688" s="615"/>
      <c r="G688" s="615"/>
      <c r="H688" s="615"/>
      <c r="I688" s="615"/>
      <c r="J688" s="615"/>
      <c r="K688" s="615"/>
      <c r="L688" s="615"/>
      <c r="M688" s="615"/>
      <c r="N688" s="615"/>
      <c r="O688" s="615"/>
      <c r="P688" s="615"/>
      <c r="Q688" s="615"/>
      <c r="R688" s="615"/>
      <c r="S688" s="615"/>
      <c r="T688" s="615"/>
      <c r="U688" s="615"/>
      <c r="V688" s="615"/>
      <c r="W688" s="615"/>
      <c r="X688" s="615"/>
      <c r="Y688" s="615"/>
      <c r="Z688" s="615"/>
      <c r="AA688" s="615"/>
      <c r="AB688" s="615"/>
      <c r="AC688" s="615"/>
      <c r="AD688" s="639"/>
      <c r="AE688" s="535"/>
      <c r="AF688" s="535"/>
      <c r="AG688" s="535"/>
      <c r="AH688" s="535"/>
      <c r="AI688" s="535"/>
      <c r="AJ688" s="535"/>
      <c r="AK688" s="535"/>
      <c r="AL688" s="535"/>
      <c r="AN688" s="596"/>
    </row>
    <row r="689" spans="1:51" s="549" customFormat="1" ht="12.75" customHeight="1">
      <c r="A689" s="678"/>
      <c r="B689" s="535"/>
      <c r="C689" s="538" t="s">
        <v>2137</v>
      </c>
      <c r="D689" s="711"/>
      <c r="E689" s="615"/>
      <c r="F689" s="615"/>
      <c r="G689" s="615"/>
      <c r="H689" s="615"/>
      <c r="I689" s="615"/>
      <c r="J689" s="615"/>
      <c r="K689" s="615"/>
      <c r="L689" s="615"/>
      <c r="M689" s="615"/>
      <c r="N689" s="615"/>
      <c r="O689" s="615"/>
      <c r="P689" s="615"/>
      <c r="Q689" s="615"/>
      <c r="R689" s="615"/>
      <c r="S689" s="615"/>
      <c r="T689" s="615"/>
      <c r="U689" s="615"/>
      <c r="V689" s="615"/>
      <c r="W689" s="615"/>
      <c r="X689" s="615"/>
      <c r="Y689" s="615"/>
      <c r="Z689" s="615"/>
      <c r="AA689" s="615"/>
      <c r="AB689" s="615"/>
      <c r="AC689" s="615"/>
      <c r="AD689" s="639"/>
      <c r="AE689" s="535"/>
      <c r="AF689" s="535"/>
      <c r="AG689" s="535"/>
      <c r="AH689" s="535"/>
      <c r="AI689" s="535"/>
      <c r="AJ689" s="535"/>
      <c r="AK689" s="535"/>
      <c r="AL689" s="535"/>
      <c r="AN689" s="596"/>
      <c r="AW689" s="22" t="s">
        <v>2184</v>
      </c>
      <c r="AX689" s="549">
        <f>Application!Q212</f>
        <v>75</v>
      </c>
    </row>
    <row r="690" spans="1:51" s="549" customFormat="1" ht="12.75" customHeight="1">
      <c r="A690" s="678"/>
      <c r="B690" s="535"/>
      <c r="C690" s="947"/>
      <c r="D690" s="535"/>
      <c r="E690" s="535"/>
      <c r="F690" s="535"/>
      <c r="G690" s="535"/>
      <c r="H690" s="535"/>
      <c r="I690" s="535"/>
      <c r="J690" s="535"/>
      <c r="K690" s="535"/>
      <c r="L690" s="535"/>
      <c r="M690" s="535"/>
      <c r="N690" s="535"/>
      <c r="O690" s="535"/>
      <c r="P690" s="535"/>
      <c r="Q690" s="535"/>
      <c r="R690" s="535"/>
      <c r="S690" s="535"/>
      <c r="T690" s="535"/>
      <c r="U690" s="535"/>
      <c r="V690" s="535"/>
      <c r="W690" s="535"/>
      <c r="X690" s="535"/>
      <c r="Y690" s="535"/>
      <c r="Z690" s="535"/>
      <c r="AA690" s="535"/>
      <c r="AB690" s="535"/>
      <c r="AC690" s="535"/>
      <c r="AD690" s="535"/>
      <c r="AE690" s="535"/>
      <c r="AF690" s="535"/>
      <c r="AG690" s="535"/>
      <c r="AH690" s="535"/>
      <c r="AI690" s="535"/>
      <c r="AJ690" s="535"/>
      <c r="AK690" s="535"/>
      <c r="AL690" s="535"/>
      <c r="AN690" s="596"/>
      <c r="AW690" s="22" t="s">
        <v>2185</v>
      </c>
      <c r="AX690" s="1151">
        <f>Application!G753</f>
        <v>149</v>
      </c>
    </row>
    <row r="691" spans="1:51" s="549" customFormat="1" ht="12.75" customHeight="1">
      <c r="A691" s="678"/>
      <c r="B691" s="535"/>
      <c r="C691" s="947"/>
      <c r="D691" s="662" t="s">
        <v>688</v>
      </c>
      <c r="E691" s="2545" t="s">
        <v>2191</v>
      </c>
      <c r="F691" s="2545"/>
      <c r="G691" s="2545"/>
      <c r="H691" s="2545"/>
      <c r="I691" s="2545"/>
      <c r="J691" s="2545"/>
      <c r="K691" s="2545"/>
      <c r="L691" s="2545"/>
      <c r="M691" s="2545"/>
      <c r="N691" s="2545"/>
      <c r="O691" s="2545"/>
      <c r="P691" s="2545"/>
      <c r="Q691" s="2545"/>
      <c r="R691" s="2545"/>
      <c r="S691" s="2545"/>
      <c r="T691" s="2545"/>
      <c r="U691" s="2545"/>
      <c r="V691" s="2545"/>
      <c r="W691" s="2545"/>
      <c r="X691" s="2545"/>
      <c r="Y691" s="2545"/>
      <c r="Z691" s="2545"/>
      <c r="AA691" s="2545"/>
      <c r="AB691" s="2545"/>
      <c r="AC691" s="535"/>
      <c r="AD691" s="535"/>
      <c r="AE691" s="535"/>
      <c r="AF691" s="2454" t="s">
        <v>1353</v>
      </c>
      <c r="AG691" s="2454"/>
      <c r="AH691" s="2454"/>
      <c r="AI691" s="2454"/>
      <c r="AJ691" s="2454"/>
      <c r="AK691" s="2454"/>
      <c r="AL691" s="2454"/>
      <c r="AN691" s="596"/>
      <c r="AW691" s="22" t="s">
        <v>2186</v>
      </c>
      <c r="AX691" s="549">
        <f>Application!DE753</f>
        <v>0</v>
      </c>
    </row>
    <row r="692" spans="1:51" s="549" customFormat="1" ht="12.75" customHeight="1">
      <c r="A692" s="678"/>
      <c r="B692" s="535"/>
      <c r="C692" s="947"/>
      <c r="D692" s="662"/>
      <c r="E692" s="2545"/>
      <c r="F692" s="2545"/>
      <c r="G692" s="2545"/>
      <c r="H692" s="2545"/>
      <c r="I692" s="2545"/>
      <c r="J692" s="2545"/>
      <c r="K692" s="2545"/>
      <c r="L692" s="2545"/>
      <c r="M692" s="2545"/>
      <c r="N692" s="2545"/>
      <c r="O692" s="2545"/>
      <c r="P692" s="2545"/>
      <c r="Q692" s="2545"/>
      <c r="R692" s="2545"/>
      <c r="S692" s="2545"/>
      <c r="T692" s="2545"/>
      <c r="U692" s="2545"/>
      <c r="V692" s="2545"/>
      <c r="W692" s="2545"/>
      <c r="X692" s="2545"/>
      <c r="Y692" s="2545"/>
      <c r="Z692" s="2545"/>
      <c r="AA692" s="2545"/>
      <c r="AB692" s="2545"/>
      <c r="AC692" s="535"/>
      <c r="AD692" s="535"/>
      <c r="AE692" s="535"/>
      <c r="AF692" s="535"/>
      <c r="AG692" s="535"/>
      <c r="AH692" s="535"/>
      <c r="AI692" s="535"/>
      <c r="AJ692" s="535"/>
      <c r="AK692" s="535"/>
      <c r="AL692" s="535"/>
      <c r="AN692" s="596"/>
      <c r="AW692" s="22" t="s">
        <v>2187</v>
      </c>
      <c r="AX692" s="549">
        <f>Application!DJ753</f>
        <v>0</v>
      </c>
    </row>
    <row r="693" spans="1:51" s="549" customFormat="1" ht="12.75" customHeight="1">
      <c r="A693" s="678"/>
      <c r="B693" s="535"/>
      <c r="C693" s="947"/>
      <c r="D693" s="662"/>
      <c r="E693" s="535"/>
      <c r="F693" s="535"/>
      <c r="G693" s="535"/>
      <c r="H693" s="535"/>
      <c r="I693" s="535"/>
      <c r="J693" s="535"/>
      <c r="K693" s="535"/>
      <c r="L693" s="535"/>
      <c r="M693" s="535"/>
      <c r="N693" s="535"/>
      <c r="O693" s="535"/>
      <c r="P693" s="535"/>
      <c r="Q693" s="535"/>
      <c r="R693" s="535"/>
      <c r="S693" s="535"/>
      <c r="T693" s="535"/>
      <c r="U693" s="535"/>
      <c r="V693" s="535"/>
      <c r="W693" s="535"/>
      <c r="X693" s="535"/>
      <c r="Y693" s="535"/>
      <c r="Z693" s="535"/>
      <c r="AA693" s="535"/>
      <c r="AB693" s="535"/>
      <c r="AC693" s="535"/>
      <c r="AD693" s="535"/>
      <c r="AE693" s="535"/>
      <c r="AF693" s="535"/>
      <c r="AG693" s="535"/>
      <c r="AH693" s="535"/>
      <c r="AI693" s="535"/>
      <c r="AJ693" s="535"/>
      <c r="AK693" s="535"/>
      <c r="AL693" s="535"/>
      <c r="AN693" s="596"/>
      <c r="AW693" s="22" t="s">
        <v>2188</v>
      </c>
      <c r="AX693" s="549">
        <f>Application!DO753</f>
        <v>0</v>
      </c>
    </row>
    <row r="694" spans="1:51" s="549" customFormat="1" ht="12.75" customHeight="1">
      <c r="B694" s="535"/>
      <c r="C694" s="930"/>
      <c r="D694" s="662" t="s">
        <v>510</v>
      </c>
      <c r="E694" s="2509" t="s">
        <v>2135</v>
      </c>
      <c r="F694" s="2509"/>
      <c r="G694" s="2509"/>
      <c r="H694" s="2509"/>
      <c r="I694" s="2509"/>
      <c r="J694" s="2509"/>
      <c r="K694" s="2509"/>
      <c r="L694" s="2509"/>
      <c r="M694" s="2509"/>
      <c r="N694" s="2509"/>
      <c r="O694" s="2509"/>
      <c r="P694" s="2509"/>
      <c r="Q694" s="2509"/>
      <c r="R694" s="2509"/>
      <c r="S694" s="2509"/>
      <c r="T694" s="2509"/>
      <c r="U694" s="2509"/>
      <c r="V694" s="2509"/>
      <c r="W694" s="2509"/>
      <c r="X694" s="2509"/>
      <c r="Y694" s="2509"/>
      <c r="Z694" s="2509"/>
      <c r="AA694" s="2509"/>
      <c r="AB694" s="2509"/>
      <c r="AC694" s="535"/>
      <c r="AD694" s="535"/>
      <c r="AE694" s="535"/>
      <c r="AF694" s="2454" t="s">
        <v>1353</v>
      </c>
      <c r="AG694" s="2454"/>
      <c r="AH694" s="2454"/>
      <c r="AI694" s="2454"/>
      <c r="AJ694" s="2454"/>
      <c r="AK694" s="2454"/>
      <c r="AL694" s="2454"/>
      <c r="AN694" s="596"/>
      <c r="AW694" s="22" t="s">
        <v>2189</v>
      </c>
      <c r="AX694" s="549">
        <f>AX691+AX692+AX693</f>
        <v>0</v>
      </c>
    </row>
    <row r="695" spans="1:51" s="549" customFormat="1" ht="12.75" customHeight="1">
      <c r="B695" s="535"/>
      <c r="C695" s="939"/>
      <c r="D695" s="662"/>
      <c r="E695" s="2509"/>
      <c r="F695" s="2509"/>
      <c r="G695" s="2509"/>
      <c r="H695" s="2509"/>
      <c r="I695" s="2509"/>
      <c r="J695" s="2509"/>
      <c r="K695" s="2509"/>
      <c r="L695" s="2509"/>
      <c r="M695" s="2509"/>
      <c r="N695" s="2509"/>
      <c r="O695" s="2509"/>
      <c r="P695" s="2509"/>
      <c r="Q695" s="2509"/>
      <c r="R695" s="2509"/>
      <c r="S695" s="2509"/>
      <c r="T695" s="2509"/>
      <c r="U695" s="2509"/>
      <c r="V695" s="2509"/>
      <c r="W695" s="2509"/>
      <c r="X695" s="2509"/>
      <c r="Y695" s="2509"/>
      <c r="Z695" s="2509"/>
      <c r="AA695" s="2509"/>
      <c r="AB695" s="2509"/>
      <c r="AC695" s="535"/>
      <c r="AD695" s="535"/>
      <c r="AE695" s="615"/>
      <c r="AF695" s="535"/>
      <c r="AG695" s="535"/>
      <c r="AH695" s="535"/>
      <c r="AI695" s="535"/>
      <c r="AJ695" s="535"/>
      <c r="AK695" s="535"/>
      <c r="AL695" s="535"/>
      <c r="AN695" s="596"/>
      <c r="AO695" s="2544" t="b">
        <f>IF(Application!D211="Special Needs",IF(AY695&gt;=0.25,TRUE,FALSE),IF(AX695&gt;=0.25,TRUE,FALSE))</f>
        <v>0</v>
      </c>
      <c r="AP695" s="2544"/>
      <c r="AW695" s="22" t="s">
        <v>2190</v>
      </c>
      <c r="AX695" s="549">
        <f>IFERROR(AX694/AX690,0)</f>
        <v>0</v>
      </c>
      <c r="AY695" s="549">
        <f>IFERROR(AX694/(AX690-AX689),0)</f>
        <v>0</v>
      </c>
    </row>
    <row r="696" spans="1:51" s="549" customFormat="1" ht="12.75" customHeight="1">
      <c r="B696" s="535"/>
      <c r="C696" s="939"/>
      <c r="E696" s="2509"/>
      <c r="F696" s="2509"/>
      <c r="G696" s="2509"/>
      <c r="H696" s="2509"/>
      <c r="I696" s="2509"/>
      <c r="J696" s="2509"/>
      <c r="K696" s="2509"/>
      <c r="L696" s="2509"/>
      <c r="M696" s="2509"/>
      <c r="N696" s="2509"/>
      <c r="O696" s="2509"/>
      <c r="P696" s="2509"/>
      <c r="Q696" s="2509"/>
      <c r="R696" s="2509"/>
      <c r="S696" s="2509"/>
      <c r="T696" s="2509"/>
      <c r="U696" s="2509"/>
      <c r="V696" s="2509"/>
      <c r="W696" s="2509"/>
      <c r="X696" s="2509"/>
      <c r="Y696" s="2509"/>
      <c r="Z696" s="2509"/>
      <c r="AA696" s="2509"/>
      <c r="AB696" s="2509"/>
      <c r="AC696" s="535"/>
      <c r="AD696" s="535"/>
      <c r="AE696" s="615"/>
      <c r="AF696" s="615"/>
      <c r="AG696" s="615"/>
      <c r="AH696" s="615"/>
      <c r="AI696" s="615"/>
      <c r="AJ696" s="615"/>
      <c r="AK696" s="615"/>
      <c r="AL696" s="615"/>
      <c r="AN696" s="596"/>
      <c r="AW696" s="14"/>
    </row>
    <row r="697" spans="1:51" s="549" customFormat="1" ht="28.5" customHeight="1">
      <c r="B697" s="535"/>
      <c r="C697" s="939"/>
      <c r="D697" s="535"/>
      <c r="E697" s="2509"/>
      <c r="F697" s="2509"/>
      <c r="G697" s="2509"/>
      <c r="H697" s="2509"/>
      <c r="I697" s="2509"/>
      <c r="J697" s="2509"/>
      <c r="K697" s="2509"/>
      <c r="L697" s="2509"/>
      <c r="M697" s="2509"/>
      <c r="N697" s="2509"/>
      <c r="O697" s="2509"/>
      <c r="P697" s="2509"/>
      <c r="Q697" s="2509"/>
      <c r="R697" s="2509"/>
      <c r="S697" s="2509"/>
      <c r="T697" s="2509"/>
      <c r="U697" s="2509"/>
      <c r="V697" s="2509"/>
      <c r="W697" s="2509"/>
      <c r="X697" s="2509"/>
      <c r="Y697" s="2509"/>
      <c r="Z697" s="2509"/>
      <c r="AA697" s="2509"/>
      <c r="AB697" s="2509"/>
      <c r="AC697" s="535"/>
      <c r="AD697" s="535"/>
      <c r="AE697" s="615"/>
      <c r="AF697" s="615"/>
      <c r="AG697" s="615"/>
      <c r="AH697" s="615"/>
      <c r="AI697" s="615"/>
      <c r="AJ697" s="615"/>
      <c r="AK697" s="615"/>
      <c r="AL697" s="615"/>
      <c r="AN697" s="596"/>
      <c r="AO697" s="549" t="s">
        <v>592</v>
      </c>
      <c r="AP697" s="672">
        <v>0</v>
      </c>
    </row>
    <row r="698" spans="1:51" s="549" customFormat="1" ht="12.75" customHeight="1">
      <c r="B698" s="535"/>
      <c r="C698" s="939"/>
      <c r="E698" s="574"/>
      <c r="F698" s="574"/>
      <c r="G698" s="574"/>
      <c r="H698" s="574"/>
      <c r="I698" s="574"/>
      <c r="J698" s="574"/>
      <c r="K698" s="574"/>
      <c r="L698" s="574"/>
      <c r="M698" s="574"/>
      <c r="N698" s="574"/>
      <c r="O698" s="574"/>
      <c r="P698" s="574"/>
      <c r="Q698" s="574"/>
      <c r="R698" s="574"/>
      <c r="S698" s="574"/>
      <c r="T698" s="574"/>
      <c r="U698" s="574"/>
      <c r="V698" s="574"/>
      <c r="W698" s="574"/>
      <c r="X698" s="574"/>
      <c r="Y698" s="574"/>
      <c r="Z698" s="574"/>
      <c r="AA698" s="574"/>
      <c r="AB698" s="574"/>
      <c r="AC698" s="535"/>
      <c r="AD698" s="535"/>
      <c r="AE698" s="615"/>
      <c r="AF698" s="615"/>
      <c r="AG698" s="615"/>
      <c r="AH698" s="615"/>
      <c r="AI698" s="615"/>
      <c r="AJ698" s="615"/>
      <c r="AK698" s="615"/>
      <c r="AL698" s="615"/>
      <c r="AN698" s="596"/>
      <c r="AO698" s="610" t="s">
        <v>688</v>
      </c>
      <c r="AP698" s="549">
        <v>2</v>
      </c>
    </row>
    <row r="699" spans="1:51" s="549" customFormat="1" ht="12.75" customHeight="1">
      <c r="B699" s="535"/>
      <c r="C699" s="930"/>
      <c r="D699" s="662" t="s">
        <v>278</v>
      </c>
      <c r="E699" s="2509" t="s">
        <v>2136</v>
      </c>
      <c r="F699" s="2509"/>
      <c r="G699" s="2509"/>
      <c r="H699" s="2509"/>
      <c r="I699" s="2509"/>
      <c r="J699" s="2509"/>
      <c r="K699" s="2509"/>
      <c r="L699" s="2509"/>
      <c r="M699" s="2509"/>
      <c r="N699" s="2509"/>
      <c r="O699" s="2509"/>
      <c r="P699" s="2509"/>
      <c r="Q699" s="2509"/>
      <c r="R699" s="2509"/>
      <c r="S699" s="2509"/>
      <c r="T699" s="2509"/>
      <c r="U699" s="2509"/>
      <c r="V699" s="2509"/>
      <c r="W699" s="2509"/>
      <c r="X699" s="2509"/>
      <c r="Y699" s="2509"/>
      <c r="Z699" s="2509"/>
      <c r="AA699" s="2509"/>
      <c r="AB699" s="2509"/>
      <c r="AC699" s="535"/>
      <c r="AD699" s="535"/>
      <c r="AE699" s="535"/>
      <c r="AF699" s="2454" t="s">
        <v>1409</v>
      </c>
      <c r="AG699" s="2454"/>
      <c r="AH699" s="2454"/>
      <c r="AI699" s="2454"/>
      <c r="AJ699" s="2454"/>
      <c r="AK699" s="2454"/>
      <c r="AL699" s="2454"/>
      <c r="AN699" s="596"/>
      <c r="AO699" s="610" t="s">
        <v>510</v>
      </c>
      <c r="AP699" s="549">
        <v>1</v>
      </c>
    </row>
    <row r="700" spans="1:51" s="549" customFormat="1" ht="12" customHeight="1">
      <c r="B700" s="535"/>
      <c r="C700" s="930"/>
      <c r="E700" s="2509"/>
      <c r="F700" s="2509"/>
      <c r="G700" s="2509"/>
      <c r="H700" s="2509"/>
      <c r="I700" s="2509"/>
      <c r="J700" s="2509"/>
      <c r="K700" s="2509"/>
      <c r="L700" s="2509"/>
      <c r="M700" s="2509"/>
      <c r="N700" s="2509"/>
      <c r="O700" s="2509"/>
      <c r="P700" s="2509"/>
      <c r="Q700" s="2509"/>
      <c r="R700" s="2509"/>
      <c r="S700" s="2509"/>
      <c r="T700" s="2509"/>
      <c r="U700" s="2509"/>
      <c r="V700" s="2509"/>
      <c r="W700" s="2509"/>
      <c r="X700" s="2509"/>
      <c r="Y700" s="2509"/>
      <c r="Z700" s="2509"/>
      <c r="AA700" s="2509"/>
      <c r="AB700" s="2509"/>
      <c r="AC700" s="535"/>
      <c r="AD700" s="535"/>
      <c r="AE700" s="615"/>
      <c r="AF700" s="535"/>
      <c r="AG700" s="535"/>
      <c r="AH700" s="535"/>
      <c r="AI700" s="535"/>
      <c r="AJ700" s="535"/>
      <c r="AK700" s="535"/>
      <c r="AL700" s="535"/>
      <c r="AN700" s="596"/>
    </row>
    <row r="701" spans="1:51" s="549" customFormat="1" ht="12" customHeight="1">
      <c r="B701" s="535"/>
      <c r="C701" s="930"/>
      <c r="D701" s="535"/>
      <c r="E701" s="2509"/>
      <c r="F701" s="2509"/>
      <c r="G701" s="2509"/>
      <c r="H701" s="2509"/>
      <c r="I701" s="2509"/>
      <c r="J701" s="2509"/>
      <c r="K701" s="2509"/>
      <c r="L701" s="2509"/>
      <c r="M701" s="2509"/>
      <c r="N701" s="2509"/>
      <c r="O701" s="2509"/>
      <c r="P701" s="2509"/>
      <c r="Q701" s="2509"/>
      <c r="R701" s="2509"/>
      <c r="S701" s="2509"/>
      <c r="T701" s="2509"/>
      <c r="U701" s="2509"/>
      <c r="V701" s="2509"/>
      <c r="W701" s="2509"/>
      <c r="X701" s="2509"/>
      <c r="Y701" s="2509"/>
      <c r="Z701" s="2509"/>
      <c r="AA701" s="2509"/>
      <c r="AB701" s="2509"/>
      <c r="AC701" s="535"/>
      <c r="AD701" s="535"/>
      <c r="AE701" s="615"/>
      <c r="AF701" s="535"/>
      <c r="AG701" s="535"/>
      <c r="AH701" s="535"/>
      <c r="AI701" s="535"/>
      <c r="AJ701" s="535"/>
      <c r="AK701" s="535"/>
      <c r="AL701" s="535"/>
      <c r="AN701" s="596"/>
    </row>
    <row r="702" spans="1:51" s="549" customFormat="1" ht="12" customHeight="1">
      <c r="B702" s="535"/>
      <c r="C702" s="930"/>
      <c r="D702" s="535"/>
      <c r="E702" s="2509"/>
      <c r="F702" s="2509"/>
      <c r="G702" s="2509"/>
      <c r="H702" s="2509"/>
      <c r="I702" s="2509"/>
      <c r="J702" s="2509"/>
      <c r="K702" s="2509"/>
      <c r="L702" s="2509"/>
      <c r="M702" s="2509"/>
      <c r="N702" s="2509"/>
      <c r="O702" s="2509"/>
      <c r="P702" s="2509"/>
      <c r="Q702" s="2509"/>
      <c r="R702" s="2509"/>
      <c r="S702" s="2509"/>
      <c r="T702" s="2509"/>
      <c r="U702" s="2509"/>
      <c r="V702" s="2509"/>
      <c r="W702" s="2509"/>
      <c r="X702" s="2509"/>
      <c r="Y702" s="2509"/>
      <c r="Z702" s="2509"/>
      <c r="AA702" s="2509"/>
      <c r="AB702" s="2509"/>
      <c r="AC702" s="535"/>
      <c r="AD702" s="535"/>
      <c r="AE702" s="615"/>
      <c r="AF702" s="535"/>
      <c r="AG702" s="535"/>
      <c r="AH702" s="535"/>
      <c r="AI702" s="535"/>
      <c r="AJ702" s="535"/>
      <c r="AK702" s="535"/>
      <c r="AL702" s="535"/>
      <c r="AN702" s="596"/>
    </row>
    <row r="703" spans="1:51" s="569" customFormat="1" ht="12.95" customHeight="1">
      <c r="A703" s="549"/>
      <c r="B703" s="535"/>
      <c r="C703" s="930"/>
      <c r="D703" s="535"/>
      <c r="E703" s="2509"/>
      <c r="F703" s="2509"/>
      <c r="G703" s="2509"/>
      <c r="H703" s="2509"/>
      <c r="I703" s="2509"/>
      <c r="J703" s="2509"/>
      <c r="K703" s="2509"/>
      <c r="L703" s="2509"/>
      <c r="M703" s="2509"/>
      <c r="N703" s="2509"/>
      <c r="O703" s="2509"/>
      <c r="P703" s="2509"/>
      <c r="Q703" s="2509"/>
      <c r="R703" s="2509"/>
      <c r="S703" s="2509"/>
      <c r="T703" s="2509"/>
      <c r="U703" s="2509"/>
      <c r="V703" s="2509"/>
      <c r="W703" s="2509"/>
      <c r="X703" s="2509"/>
      <c r="Y703" s="2509"/>
      <c r="Z703" s="2509"/>
      <c r="AA703" s="2509"/>
      <c r="AB703" s="2509"/>
      <c r="AC703" s="535"/>
      <c r="AD703" s="535"/>
      <c r="AE703" s="615"/>
      <c r="AF703" s="615"/>
      <c r="AG703" s="615"/>
      <c r="AH703" s="615"/>
      <c r="AI703" s="615"/>
      <c r="AJ703" s="535"/>
      <c r="AK703" s="535"/>
      <c r="AL703" s="535"/>
      <c r="AM703" s="549"/>
      <c r="AN703" s="683"/>
      <c r="AO703" s="549" t="s">
        <v>592</v>
      </c>
      <c r="AP703" s="672">
        <v>0</v>
      </c>
    </row>
    <row r="704" spans="1:51" s="569" customFormat="1" ht="12" customHeight="1">
      <c r="A704" s="549"/>
      <c r="B704" s="535"/>
      <c r="C704" s="930"/>
      <c r="D704" s="535"/>
      <c r="E704" s="642"/>
      <c r="F704" s="642"/>
      <c r="G704" s="642"/>
      <c r="H704" s="642"/>
      <c r="I704" s="642"/>
      <c r="J704" s="642"/>
      <c r="K704" s="642"/>
      <c r="L704" s="642"/>
      <c r="M704" s="642"/>
      <c r="N704" s="642"/>
      <c r="O704" s="642"/>
      <c r="P704" s="642"/>
      <c r="Q704" s="642"/>
      <c r="R704" s="642"/>
      <c r="S704" s="642"/>
      <c r="T704" s="642"/>
      <c r="U704" s="642"/>
      <c r="V704" s="642"/>
      <c r="W704" s="642"/>
      <c r="X704" s="642"/>
      <c r="Y704" s="642"/>
      <c r="Z704" s="642"/>
      <c r="AA704" s="642"/>
      <c r="AB704" s="642"/>
      <c r="AC704" s="535"/>
      <c r="AD704" s="535"/>
      <c r="AE704" s="615"/>
      <c r="AF704" s="615"/>
      <c r="AG704" s="615"/>
      <c r="AH704" s="615"/>
      <c r="AI704" s="615"/>
      <c r="AJ704" s="535"/>
      <c r="AK704" s="535"/>
      <c r="AL704" s="535"/>
      <c r="AM704" s="549"/>
      <c r="AN704" s="683"/>
      <c r="AO704" s="610" t="s">
        <v>688</v>
      </c>
      <c r="AP704" s="549">
        <v>3</v>
      </c>
    </row>
    <row r="705" spans="1:43" s="569" customFormat="1" ht="12.75" customHeight="1">
      <c r="A705" s="549"/>
      <c r="B705" s="535"/>
      <c r="C705" s="930"/>
      <c r="D705" s="535"/>
      <c r="E705" s="2509" t="s">
        <v>1694</v>
      </c>
      <c r="F705" s="2509"/>
      <c r="G705" s="2509"/>
      <c r="H705" s="2509"/>
      <c r="I705" s="2509"/>
      <c r="J705" s="2509"/>
      <c r="K705" s="2509"/>
      <c r="L705" s="2509"/>
      <c r="M705" s="2509"/>
      <c r="N705" s="2509"/>
      <c r="O705" s="2509"/>
      <c r="P705" s="2509"/>
      <c r="Q705" s="2509"/>
      <c r="R705" s="2509"/>
      <c r="S705" s="2509"/>
      <c r="T705" s="2509"/>
      <c r="U705" s="2509"/>
      <c r="V705" s="2509"/>
      <c r="W705" s="2509"/>
      <c r="X705" s="2509"/>
      <c r="Y705" s="2509"/>
      <c r="Z705" s="2509"/>
      <c r="AA705" s="2509"/>
      <c r="AB705" s="2509"/>
      <c r="AC705" s="535"/>
      <c r="AD705" s="535"/>
      <c r="AE705" s="615"/>
      <c r="AF705" s="615"/>
      <c r="AG705" s="615"/>
      <c r="AH705" s="615"/>
      <c r="AI705" s="615"/>
      <c r="AJ705" s="535"/>
      <c r="AK705" s="535"/>
      <c r="AL705" s="535"/>
      <c r="AM705" s="549"/>
      <c r="AN705" s="683"/>
      <c r="AO705" s="610" t="s">
        <v>510</v>
      </c>
      <c r="AP705" s="549">
        <f>3*$AO$695</f>
        <v>0</v>
      </c>
    </row>
    <row r="706" spans="1:43" s="569" customFormat="1" ht="12.75" customHeight="1">
      <c r="A706" s="549"/>
      <c r="B706" s="535"/>
      <c r="C706" s="930"/>
      <c r="D706" s="535"/>
      <c r="E706" s="2509"/>
      <c r="F706" s="2509"/>
      <c r="G706" s="2509"/>
      <c r="H706" s="2509"/>
      <c r="I706" s="2509"/>
      <c r="J706" s="2509"/>
      <c r="K706" s="2509"/>
      <c r="L706" s="2509"/>
      <c r="M706" s="2509"/>
      <c r="N706" s="2509"/>
      <c r="O706" s="2509"/>
      <c r="P706" s="2509"/>
      <c r="Q706" s="2509"/>
      <c r="R706" s="2509"/>
      <c r="S706" s="2509"/>
      <c r="T706" s="2509"/>
      <c r="U706" s="2509"/>
      <c r="V706" s="2509"/>
      <c r="W706" s="2509"/>
      <c r="X706" s="2509"/>
      <c r="Y706" s="2509"/>
      <c r="Z706" s="2509"/>
      <c r="AA706" s="2509"/>
      <c r="AB706" s="2509"/>
      <c r="AC706" s="535"/>
      <c r="AD706" s="535"/>
      <c r="AE706" s="615"/>
      <c r="AF706" s="615"/>
      <c r="AG706" s="615"/>
      <c r="AH706" s="615"/>
      <c r="AI706" s="615"/>
      <c r="AJ706" s="535"/>
      <c r="AK706" s="535"/>
      <c r="AL706" s="535"/>
      <c r="AM706" s="549"/>
      <c r="AN706" s="683"/>
      <c r="AO706" s="610" t="s">
        <v>278</v>
      </c>
      <c r="AP706" s="549">
        <f>2*$AO$695</f>
        <v>0</v>
      </c>
    </row>
    <row r="707" spans="1:43" s="569" customFormat="1" ht="12.75" customHeight="1">
      <c r="A707" s="549"/>
      <c r="B707" s="535"/>
      <c r="C707" s="930"/>
      <c r="D707" s="535"/>
      <c r="E707" s="2509"/>
      <c r="F707" s="2509"/>
      <c r="G707" s="2509"/>
      <c r="H707" s="2509"/>
      <c r="I707" s="2509"/>
      <c r="J707" s="2509"/>
      <c r="K707" s="2509"/>
      <c r="L707" s="2509"/>
      <c r="M707" s="2509"/>
      <c r="N707" s="2509"/>
      <c r="O707" s="2509"/>
      <c r="P707" s="2509"/>
      <c r="Q707" s="2509"/>
      <c r="R707" s="2509"/>
      <c r="S707" s="2509"/>
      <c r="T707" s="2509"/>
      <c r="U707" s="2509"/>
      <c r="V707" s="2509"/>
      <c r="W707" s="2509"/>
      <c r="X707" s="2509"/>
      <c r="Y707" s="2509"/>
      <c r="Z707" s="2509"/>
      <c r="AA707" s="2509"/>
      <c r="AB707" s="2509"/>
      <c r="AC707" s="535"/>
      <c r="AD707" s="535"/>
      <c r="AE707" s="615"/>
      <c r="AF707" s="615"/>
      <c r="AG707" s="615"/>
      <c r="AH707" s="615"/>
      <c r="AI707" s="615"/>
      <c r="AJ707" s="535"/>
      <c r="AK707" s="535"/>
      <c r="AL707" s="535"/>
      <c r="AM707" s="549"/>
      <c r="AN707" s="683"/>
    </row>
    <row r="708" spans="1:43" s="569" customFormat="1" ht="12.75" customHeight="1">
      <c r="A708" s="549"/>
      <c r="B708" s="535"/>
      <c r="C708" s="930"/>
      <c r="D708" s="535"/>
      <c r="E708" s="642"/>
      <c r="F708" s="642"/>
      <c r="G708" s="642"/>
      <c r="H708" s="642"/>
      <c r="I708" s="642"/>
      <c r="J708" s="642"/>
      <c r="K708" s="642"/>
      <c r="L708" s="642"/>
      <c r="M708" s="642"/>
      <c r="N708" s="642"/>
      <c r="O708" s="642"/>
      <c r="P708" s="642"/>
      <c r="Q708" s="642"/>
      <c r="R708" s="642"/>
      <c r="S708" s="642"/>
      <c r="T708" s="642"/>
      <c r="U708" s="642"/>
      <c r="V708" s="642"/>
      <c r="W708" s="642"/>
      <c r="X708" s="642"/>
      <c r="Y708" s="642"/>
      <c r="Z708" s="642"/>
      <c r="AA708" s="642"/>
      <c r="AB708" s="642"/>
      <c r="AC708" s="535"/>
      <c r="AD708" s="535"/>
      <c r="AE708" s="615"/>
      <c r="AF708" s="615"/>
      <c r="AG708" s="615"/>
      <c r="AH708" s="615"/>
      <c r="AI708" s="615"/>
      <c r="AJ708" s="535"/>
      <c r="AK708" s="535"/>
      <c r="AL708" s="535"/>
      <c r="AM708" s="549"/>
      <c r="AN708" s="683"/>
    </row>
    <row r="709" spans="1:43" s="569" customFormat="1" ht="12.75" customHeight="1">
      <c r="A709" s="549"/>
      <c r="B709" s="535"/>
      <c r="C709" s="930"/>
      <c r="D709" s="535" t="s">
        <v>1401</v>
      </c>
      <c r="E709" s="935"/>
      <c r="F709" s="935"/>
      <c r="G709" s="935"/>
      <c r="H709" s="2538" t="s">
        <v>688</v>
      </c>
      <c r="I709" s="2538"/>
      <c r="J709" s="642"/>
      <c r="K709" s="642"/>
      <c r="L709" s="642"/>
      <c r="M709" s="642"/>
      <c r="N709" s="642"/>
      <c r="O709" s="642"/>
      <c r="P709" s="642"/>
      <c r="Q709" s="642"/>
      <c r="R709" s="642"/>
      <c r="S709" s="642"/>
      <c r="T709" s="642"/>
      <c r="U709" s="642"/>
      <c r="V709" s="642"/>
      <c r="W709" s="642"/>
      <c r="X709" s="642"/>
      <c r="Y709" s="642"/>
      <c r="Z709" s="642"/>
      <c r="AA709" s="642"/>
      <c r="AB709" s="642"/>
      <c r="AC709" s="535"/>
      <c r="AD709" s="535"/>
      <c r="AE709" s="615"/>
      <c r="AF709" s="615"/>
      <c r="AG709" s="615"/>
      <c r="AH709" s="615"/>
      <c r="AI709" s="615"/>
      <c r="AJ709" s="535"/>
      <c r="AK709" s="535"/>
      <c r="AL709" s="535"/>
      <c r="AM709" s="549"/>
      <c r="AN709" s="683"/>
      <c r="AP709" s="569" t="s">
        <v>1428</v>
      </c>
    </row>
    <row r="710" spans="1:43" s="569" customFormat="1">
      <c r="A710" s="549"/>
      <c r="B710" s="535"/>
      <c r="C710" s="930"/>
      <c r="D710" s="535"/>
      <c r="E710" s="642"/>
      <c r="F710" s="642"/>
      <c r="G710" s="642"/>
      <c r="H710" s="642"/>
      <c r="I710" s="642"/>
      <c r="J710" s="642"/>
      <c r="K710" s="642"/>
      <c r="L710" s="642"/>
      <c r="M710" s="642"/>
      <c r="N710" s="642"/>
      <c r="O710" s="642"/>
      <c r="P710" s="642"/>
      <c r="Q710" s="642"/>
      <c r="R710" s="642"/>
      <c r="S710" s="642"/>
      <c r="T710" s="642"/>
      <c r="U710" s="642"/>
      <c r="V710" s="642"/>
      <c r="W710" s="642"/>
      <c r="X710" s="642"/>
      <c r="Y710" s="642"/>
      <c r="Z710" s="642"/>
      <c r="AA710" s="642"/>
      <c r="AB710" s="642"/>
      <c r="AC710" s="535"/>
      <c r="AD710" s="535"/>
      <c r="AE710" s="615"/>
      <c r="AF710" s="615"/>
      <c r="AG710" s="615"/>
      <c r="AH710" s="615"/>
      <c r="AI710" s="615"/>
      <c r="AJ710" s="535"/>
      <c r="AK710" s="535"/>
      <c r="AL710" s="535"/>
      <c r="AM710" s="549"/>
      <c r="AN710" s="683"/>
      <c r="AP710" s="569" t="s">
        <v>1406</v>
      </c>
    </row>
    <row r="711" spans="1:43" s="569" customFormat="1" ht="12.75" customHeight="1">
      <c r="A711" s="605"/>
      <c r="B711" s="600"/>
      <c r="C711" s="943"/>
      <c r="D711" s="600"/>
      <c r="E711" s="600"/>
      <c r="F711" s="600"/>
      <c r="G711" s="600"/>
      <c r="H711" s="600"/>
      <c r="I711" s="600"/>
      <c r="J711" s="948"/>
      <c r="K711" s="948"/>
      <c r="L711" s="664"/>
      <c r="M711" s="664"/>
      <c r="N711" s="664"/>
      <c r="O711" s="664"/>
      <c r="P711" s="664"/>
      <c r="Q711" s="664"/>
      <c r="R711" s="664"/>
      <c r="S711" s="664"/>
      <c r="T711" s="664"/>
      <c r="U711" s="664"/>
      <c r="V711" s="664"/>
      <c r="W711" s="664"/>
      <c r="X711" s="664"/>
      <c r="Y711" s="938"/>
      <c r="Z711" s="938"/>
      <c r="AA711" s="938"/>
      <c r="AB711" s="600"/>
      <c r="AC711" s="600"/>
      <c r="AD711" s="600"/>
      <c r="AE711" s="600"/>
      <c r="AF711" s="600"/>
      <c r="AG711" s="600"/>
      <c r="AH711" s="600"/>
      <c r="AI711" s="564" t="s">
        <v>2138</v>
      </c>
      <c r="AJ711" s="2489">
        <f>VLOOKUP($H$709,$AO$703:$AP$706,2,FALSE)</f>
        <v>3</v>
      </c>
      <c r="AK711" s="2491"/>
      <c r="AL711" s="594"/>
      <c r="AM711" s="549"/>
      <c r="AN711" s="683"/>
      <c r="AP711" s="569" t="s">
        <v>1413</v>
      </c>
    </row>
    <row r="712" spans="1:43" s="569" customFormat="1">
      <c r="A712" s="549"/>
      <c r="B712" s="535"/>
      <c r="C712" s="535"/>
      <c r="D712" s="535"/>
      <c r="E712" s="535"/>
      <c r="F712" s="535"/>
      <c r="G712" s="535"/>
      <c r="H712" s="535"/>
      <c r="I712" s="535"/>
      <c r="J712" s="535"/>
      <c r="K712" s="535"/>
      <c r="L712" s="535"/>
      <c r="M712" s="535"/>
      <c r="N712" s="535"/>
      <c r="O712" s="535"/>
      <c r="P712" s="535"/>
      <c r="Q712" s="535"/>
      <c r="R712" s="535"/>
      <c r="S712" s="535"/>
      <c r="T712" s="535"/>
      <c r="U712" s="535"/>
      <c r="V712" s="535"/>
      <c r="W712" s="535"/>
      <c r="X712" s="535"/>
      <c r="Y712" s="535"/>
      <c r="Z712" s="535"/>
      <c r="AA712" s="535"/>
      <c r="AB712" s="535"/>
      <c r="AC712" s="535"/>
      <c r="AD712" s="535"/>
      <c r="AE712" s="615"/>
      <c r="AF712" s="615"/>
      <c r="AG712" s="615"/>
      <c r="AH712" s="615"/>
      <c r="AI712" s="615"/>
      <c r="AJ712" s="535"/>
      <c r="AK712" s="535"/>
      <c r="AL712" s="535"/>
      <c r="AM712" s="549"/>
      <c r="AN712" s="683"/>
      <c r="AP712" s="569" t="s">
        <v>1429</v>
      </c>
    </row>
    <row r="713" spans="1:43" s="569" customFormat="1" ht="12.75" customHeight="1">
      <c r="A713" s="549"/>
      <c r="B713" s="535"/>
      <c r="C713" s="538" t="s">
        <v>1430</v>
      </c>
      <c r="D713" s="711"/>
      <c r="E713" s="535"/>
      <c r="F713" s="535"/>
      <c r="G713" s="535"/>
      <c r="H713" s="535"/>
      <c r="I713" s="535"/>
      <c r="J713" s="535"/>
      <c r="K713" s="535"/>
      <c r="L713" s="535"/>
      <c r="M713" s="535"/>
      <c r="N713" s="535"/>
      <c r="O713" s="535"/>
      <c r="P713" s="535"/>
      <c r="Q713" s="535"/>
      <c r="R713" s="535"/>
      <c r="S713" s="535"/>
      <c r="T713" s="535"/>
      <c r="U713" s="535"/>
      <c r="V713" s="535"/>
      <c r="W713" s="535"/>
      <c r="X713" s="535"/>
      <c r="Y713" s="535"/>
      <c r="Z713" s="535"/>
      <c r="AA713" s="535"/>
      <c r="AB713" s="535"/>
      <c r="AC713" s="535"/>
      <c r="AD713" s="535"/>
      <c r="AE713" s="615"/>
      <c r="AF713" s="615"/>
      <c r="AG713" s="615"/>
      <c r="AH713" s="615"/>
      <c r="AI713" s="615"/>
      <c r="AJ713" s="535"/>
      <c r="AK713" s="535"/>
      <c r="AL713" s="535"/>
      <c r="AM713" s="549"/>
      <c r="AN713" s="683"/>
      <c r="AP713" s="569" t="s">
        <v>1431</v>
      </c>
    </row>
    <row r="714" spans="1:43" s="569" customFormat="1" ht="12.75" customHeight="1">
      <c r="A714" s="549"/>
      <c r="B714" s="535"/>
      <c r="C714" s="930"/>
      <c r="D714" s="535"/>
      <c r="E714" s="535"/>
      <c r="F714" s="535"/>
      <c r="G714" s="535"/>
      <c r="H714" s="535"/>
      <c r="I714" s="535"/>
      <c r="J714" s="535"/>
      <c r="K714" s="535"/>
      <c r="L714" s="535"/>
      <c r="M714" s="535"/>
      <c r="N714" s="535"/>
      <c r="O714" s="535"/>
      <c r="P714" s="535"/>
      <c r="Q714" s="535"/>
      <c r="R714" s="535"/>
      <c r="S714" s="535"/>
      <c r="T714" s="535"/>
      <c r="U714" s="535"/>
      <c r="V714" s="535"/>
      <c r="W714" s="535"/>
      <c r="X714" s="535"/>
      <c r="Y714" s="535"/>
      <c r="Z714" s="535"/>
      <c r="AA714" s="535"/>
      <c r="AB714" s="535"/>
      <c r="AC714" s="535"/>
      <c r="AD714" s="535"/>
      <c r="AE714" s="615"/>
      <c r="AF714" s="615"/>
      <c r="AG714" s="615"/>
      <c r="AH714" s="615"/>
      <c r="AI714" s="615"/>
      <c r="AJ714" s="535"/>
      <c r="AK714" s="535"/>
      <c r="AL714" s="535"/>
      <c r="AM714" s="549"/>
      <c r="AN714" s="683"/>
      <c r="AP714" s="569" t="s">
        <v>1432</v>
      </c>
    </row>
    <row r="715" spans="1:43" s="569" customFormat="1" ht="12.75" customHeight="1">
      <c r="A715" s="636"/>
      <c r="B715" s="535"/>
      <c r="C715" s="930"/>
      <c r="D715" s="662" t="s">
        <v>688</v>
      </c>
      <c r="E715" s="2546" t="s">
        <v>1696</v>
      </c>
      <c r="F715" s="2546"/>
      <c r="G715" s="2546"/>
      <c r="H715" s="2546"/>
      <c r="I715" s="2546"/>
      <c r="J715" s="2546"/>
      <c r="K715" s="2546"/>
      <c r="L715" s="2546"/>
      <c r="M715" s="2546"/>
      <c r="N715" s="2546"/>
      <c r="O715" s="2546"/>
      <c r="P715" s="2546"/>
      <c r="Q715" s="2546"/>
      <c r="R715" s="2546"/>
      <c r="S715" s="2546"/>
      <c r="T715" s="2546"/>
      <c r="U715" s="2546"/>
      <c r="V715" s="2546"/>
      <c r="W715" s="2546"/>
      <c r="X715" s="2546"/>
      <c r="Y715" s="2546"/>
      <c r="Z715" s="2546"/>
      <c r="AA715" s="2546"/>
      <c r="AB715" s="2546"/>
      <c r="AC715" s="535"/>
      <c r="AD715" s="535"/>
      <c r="AE715" s="535"/>
      <c r="AF715" s="2454" t="s">
        <v>1353</v>
      </c>
      <c r="AG715" s="2454"/>
      <c r="AH715" s="2454"/>
      <c r="AI715" s="2454"/>
      <c r="AJ715" s="2454"/>
      <c r="AK715" s="2454"/>
      <c r="AL715" s="2454"/>
      <c r="AM715" s="549"/>
      <c r="AN715" s="683"/>
      <c r="AP715" s="569" t="s">
        <v>1433</v>
      </c>
    </row>
    <row r="716" spans="1:43" s="569" customFormat="1" ht="11.85" customHeight="1">
      <c r="A716" s="549"/>
      <c r="B716" s="535"/>
      <c r="C716" s="932"/>
      <c r="D716" s="662"/>
      <c r="E716" s="2546"/>
      <c r="F716" s="2546"/>
      <c r="G716" s="2546"/>
      <c r="H716" s="2546"/>
      <c r="I716" s="2546"/>
      <c r="J716" s="2546"/>
      <c r="K716" s="2546"/>
      <c r="L716" s="2546"/>
      <c r="M716" s="2546"/>
      <c r="N716" s="2546"/>
      <c r="O716" s="2546"/>
      <c r="P716" s="2546"/>
      <c r="Q716" s="2546"/>
      <c r="R716" s="2546"/>
      <c r="S716" s="2546"/>
      <c r="T716" s="2546"/>
      <c r="U716" s="2546"/>
      <c r="V716" s="2546"/>
      <c r="W716" s="2546"/>
      <c r="X716" s="2546"/>
      <c r="Y716" s="2546"/>
      <c r="Z716" s="2546"/>
      <c r="AA716" s="2546"/>
      <c r="AB716" s="2546"/>
      <c r="AC716" s="535"/>
      <c r="AD716" s="535"/>
      <c r="AE716" s="535"/>
      <c r="AF716" s="535"/>
      <c r="AG716" s="535"/>
      <c r="AH716" s="535"/>
      <c r="AI716" s="535"/>
      <c r="AJ716" s="535"/>
      <c r="AK716" s="535"/>
      <c r="AL716" s="535"/>
      <c r="AM716" s="549"/>
      <c r="AN716" s="683"/>
      <c r="AP716" s="569" t="s">
        <v>1434</v>
      </c>
    </row>
    <row r="717" spans="1:43" s="569" customFormat="1" ht="14.1" customHeight="1">
      <c r="A717" s="549"/>
      <c r="B717" s="609"/>
      <c r="C717" s="930"/>
      <c r="D717" s="662"/>
      <c r="E717" s="2546"/>
      <c r="F717" s="2546"/>
      <c r="G717" s="2546"/>
      <c r="H717" s="2546"/>
      <c r="I717" s="2546"/>
      <c r="J717" s="2546"/>
      <c r="K717" s="2546"/>
      <c r="L717" s="2546"/>
      <c r="M717" s="2546"/>
      <c r="N717" s="2546"/>
      <c r="O717" s="2546"/>
      <c r="P717" s="2546"/>
      <c r="Q717" s="2546"/>
      <c r="R717" s="2546"/>
      <c r="S717" s="2546"/>
      <c r="T717" s="2546"/>
      <c r="U717" s="2546"/>
      <c r="V717" s="2546"/>
      <c r="W717" s="2546"/>
      <c r="X717" s="2546"/>
      <c r="Y717" s="2546"/>
      <c r="Z717" s="2546"/>
      <c r="AA717" s="2546"/>
      <c r="AB717" s="2546"/>
      <c r="AC717" s="535"/>
      <c r="AD717" s="535"/>
      <c r="AE717" s="615"/>
      <c r="AF717" s="535"/>
      <c r="AG717" s="535"/>
      <c r="AH717" s="535"/>
      <c r="AI717" s="535"/>
      <c r="AJ717" s="535"/>
      <c r="AK717" s="535"/>
      <c r="AL717" s="535"/>
      <c r="AM717" s="549"/>
      <c r="AN717" s="683"/>
      <c r="AP717" s="569" t="s">
        <v>1435</v>
      </c>
    </row>
    <row r="718" spans="1:43" s="569" customFormat="1" ht="14.1" customHeight="1">
      <c r="A718" s="549"/>
      <c r="B718" s="609"/>
      <c r="C718" s="930"/>
      <c r="D718" s="662"/>
      <c r="E718" s="935"/>
      <c r="F718" s="935"/>
      <c r="G718" s="935"/>
      <c r="H718" s="935"/>
      <c r="I718" s="935"/>
      <c r="J718" s="935"/>
      <c r="K718" s="935"/>
      <c r="L718" s="935"/>
      <c r="M718" s="935"/>
      <c r="N718" s="935"/>
      <c r="O718" s="935"/>
      <c r="P718" s="935"/>
      <c r="Q718" s="935"/>
      <c r="R718" s="935"/>
      <c r="S718" s="935"/>
      <c r="T718" s="935"/>
      <c r="U718" s="935"/>
      <c r="V718" s="935"/>
      <c r="W718" s="935"/>
      <c r="X718" s="935"/>
      <c r="Y718" s="935"/>
      <c r="Z718" s="935"/>
      <c r="AA718" s="935"/>
      <c r="AB718" s="935"/>
      <c r="AC718" s="535"/>
      <c r="AD718" s="535"/>
      <c r="AE718" s="615"/>
      <c r="AF718" s="535"/>
      <c r="AG718" s="535"/>
      <c r="AH718" s="535"/>
      <c r="AI718" s="535"/>
      <c r="AJ718" s="535"/>
      <c r="AK718" s="535"/>
      <c r="AL718" s="535"/>
      <c r="AM718" s="549"/>
      <c r="AN718" s="683"/>
      <c r="AP718" s="685" t="s">
        <v>1437</v>
      </c>
    </row>
    <row r="719" spans="1:43" s="569" customFormat="1" ht="14.1" customHeight="1">
      <c r="A719" s="549"/>
      <c r="B719" s="535"/>
      <c r="C719" s="930"/>
      <c r="D719" s="662" t="s">
        <v>510</v>
      </c>
      <c r="E719" s="2547" t="s">
        <v>1436</v>
      </c>
      <c r="F719" s="2547"/>
      <c r="G719" s="2547"/>
      <c r="H719" s="2547"/>
      <c r="I719" s="2547"/>
      <c r="J719" s="2547"/>
      <c r="K719" s="2547"/>
      <c r="L719" s="2547"/>
      <c r="M719" s="2547"/>
      <c r="N719" s="2547"/>
      <c r="O719" s="2547"/>
      <c r="P719" s="2547"/>
      <c r="Q719" s="2547"/>
      <c r="R719" s="2547"/>
      <c r="S719" s="2547"/>
      <c r="T719" s="2547"/>
      <c r="U719" s="2547"/>
      <c r="V719" s="2547"/>
      <c r="W719" s="2547"/>
      <c r="X719" s="2547"/>
      <c r="Y719" s="2547"/>
      <c r="Z719" s="2547"/>
      <c r="AA719" s="2547"/>
      <c r="AB719" s="2547"/>
      <c r="AC719" s="535"/>
      <c r="AD719" s="535"/>
      <c r="AE719" s="535"/>
      <c r="AF719" s="2454" t="s">
        <v>1409</v>
      </c>
      <c r="AG719" s="2454"/>
      <c r="AH719" s="2454"/>
      <c r="AI719" s="2454"/>
      <c r="AJ719" s="2454"/>
      <c r="AK719" s="2454"/>
      <c r="AL719" s="2454"/>
      <c r="AM719" s="549"/>
      <c r="AN719" s="684"/>
    </row>
    <row r="720" spans="1:43" s="569" customFormat="1" ht="12.75" customHeight="1">
      <c r="A720" s="549"/>
      <c r="B720" s="535"/>
      <c r="C720" s="932"/>
      <c r="D720" s="535"/>
      <c r="E720" s="2547"/>
      <c r="F720" s="2547"/>
      <c r="G720" s="2547"/>
      <c r="H720" s="2547"/>
      <c r="I720" s="2547"/>
      <c r="J720" s="2547"/>
      <c r="K720" s="2547"/>
      <c r="L720" s="2547"/>
      <c r="M720" s="2547"/>
      <c r="N720" s="2547"/>
      <c r="O720" s="2547"/>
      <c r="P720" s="2547"/>
      <c r="Q720" s="2547"/>
      <c r="R720" s="2547"/>
      <c r="S720" s="2547"/>
      <c r="T720" s="2547"/>
      <c r="U720" s="2547"/>
      <c r="V720" s="2547"/>
      <c r="W720" s="2547"/>
      <c r="X720" s="2547"/>
      <c r="Y720" s="2547"/>
      <c r="Z720" s="2547"/>
      <c r="AA720" s="2547"/>
      <c r="AB720" s="2547"/>
      <c r="AC720" s="535"/>
      <c r="AD720" s="535"/>
      <c r="AE720" s="535"/>
      <c r="AF720" s="535"/>
      <c r="AG720" s="535"/>
      <c r="AH720" s="535"/>
      <c r="AI720" s="535"/>
      <c r="AJ720" s="535"/>
      <c r="AK720" s="535"/>
      <c r="AL720" s="535"/>
      <c r="AM720" s="549"/>
      <c r="AN720" s="683"/>
      <c r="AP720" s="549" t="s">
        <v>592</v>
      </c>
      <c r="AQ720" s="672">
        <v>0</v>
      </c>
    </row>
    <row r="721" spans="1:81" s="569" customFormat="1" ht="14.1" customHeight="1">
      <c r="A721" s="549"/>
      <c r="B721" s="535"/>
      <c r="C721" s="932"/>
      <c r="D721" s="535"/>
      <c r="E721" s="2547"/>
      <c r="F721" s="2547"/>
      <c r="G721" s="2547"/>
      <c r="H721" s="2547"/>
      <c r="I721" s="2547"/>
      <c r="J721" s="2547"/>
      <c r="K721" s="2547"/>
      <c r="L721" s="2547"/>
      <c r="M721" s="2547"/>
      <c r="N721" s="2547"/>
      <c r="O721" s="2547"/>
      <c r="P721" s="2547"/>
      <c r="Q721" s="2547"/>
      <c r="R721" s="2547"/>
      <c r="S721" s="2547"/>
      <c r="T721" s="2547"/>
      <c r="U721" s="2547"/>
      <c r="V721" s="2547"/>
      <c r="W721" s="2547"/>
      <c r="X721" s="2547"/>
      <c r="Y721" s="2547"/>
      <c r="Z721" s="2547"/>
      <c r="AA721" s="2547"/>
      <c r="AB721" s="2547"/>
      <c r="AC721" s="535"/>
      <c r="AD721" s="535"/>
      <c r="AE721" s="535"/>
      <c r="AF721" s="535"/>
      <c r="AG721" s="535"/>
      <c r="AH721" s="535"/>
      <c r="AI721" s="535"/>
      <c r="AJ721" s="535"/>
      <c r="AK721" s="535"/>
      <c r="AL721" s="535"/>
      <c r="AM721" s="549"/>
      <c r="AN721" s="683"/>
      <c r="AP721" s="610" t="s">
        <v>688</v>
      </c>
      <c r="AQ721" s="549">
        <v>3</v>
      </c>
    </row>
    <row r="722" spans="1:81" s="569" customFormat="1" ht="14.1" customHeight="1">
      <c r="A722" s="549"/>
      <c r="B722" s="535"/>
      <c r="C722" s="932"/>
      <c r="D722" s="535"/>
      <c r="E722" s="949"/>
      <c r="F722" s="949"/>
      <c r="G722" s="949"/>
      <c r="H722" s="949"/>
      <c r="I722" s="949"/>
      <c r="J722" s="949"/>
      <c r="K722" s="949"/>
      <c r="L722" s="949"/>
      <c r="M722" s="949"/>
      <c r="N722" s="949"/>
      <c r="O722" s="949"/>
      <c r="P722" s="949"/>
      <c r="Q722" s="949"/>
      <c r="R722" s="949"/>
      <c r="S722" s="949"/>
      <c r="T722" s="949"/>
      <c r="U722" s="949"/>
      <c r="V722" s="949"/>
      <c r="W722" s="949"/>
      <c r="X722" s="949"/>
      <c r="Y722" s="949"/>
      <c r="Z722" s="949"/>
      <c r="AA722" s="949"/>
      <c r="AB722" s="949"/>
      <c r="AC722" s="535"/>
      <c r="AD722" s="535"/>
      <c r="AE722" s="535"/>
      <c r="AF722" s="535"/>
      <c r="AG722" s="535"/>
      <c r="AH722" s="535"/>
      <c r="AI722" s="535"/>
      <c r="AJ722" s="535"/>
      <c r="AK722" s="535"/>
      <c r="AL722" s="535"/>
      <c r="AM722" s="549"/>
      <c r="AN722" s="683"/>
      <c r="AP722" s="610" t="s">
        <v>510</v>
      </c>
      <c r="AQ722" s="549">
        <v>2</v>
      </c>
    </row>
    <row r="723" spans="1:81" s="569" customFormat="1" ht="14.1" customHeight="1">
      <c r="A723" s="549"/>
      <c r="B723" s="535"/>
      <c r="C723" s="932"/>
      <c r="D723" s="535" t="s">
        <v>1401</v>
      </c>
      <c r="E723" s="935"/>
      <c r="F723" s="935"/>
      <c r="G723" s="935"/>
      <c r="H723" s="2538" t="s">
        <v>510</v>
      </c>
      <c r="I723" s="2538"/>
      <c r="J723" s="949"/>
      <c r="K723" s="949"/>
      <c r="L723" s="949"/>
      <c r="M723" s="949"/>
      <c r="N723" s="949"/>
      <c r="O723" s="949"/>
      <c r="P723" s="949"/>
      <c r="Q723" s="949"/>
      <c r="R723" s="949"/>
      <c r="S723" s="949"/>
      <c r="T723" s="949"/>
      <c r="U723" s="949"/>
      <c r="V723" s="949"/>
      <c r="W723" s="949"/>
      <c r="X723" s="949"/>
      <c r="Y723" s="949"/>
      <c r="Z723" s="949"/>
      <c r="AA723" s="949"/>
      <c r="AB723" s="949"/>
      <c r="AC723" s="535"/>
      <c r="AD723" s="535"/>
      <c r="AE723" s="535"/>
      <c r="AF723" s="535"/>
      <c r="AG723" s="535"/>
      <c r="AH723" s="535"/>
      <c r="AI723" s="535"/>
      <c r="AJ723" s="535"/>
      <c r="AK723" s="535"/>
      <c r="AL723" s="535"/>
      <c r="AM723" s="549"/>
      <c r="AN723" s="683"/>
    </row>
    <row r="724" spans="1:81" s="569" customFormat="1" ht="14.25" customHeight="1">
      <c r="A724" s="549"/>
      <c r="B724" s="535"/>
      <c r="C724" s="932"/>
      <c r="D724" s="535"/>
      <c r="E724" s="949"/>
      <c r="F724" s="949"/>
      <c r="G724" s="949"/>
      <c r="H724" s="949"/>
      <c r="I724" s="949"/>
      <c r="J724" s="949"/>
      <c r="K724" s="949"/>
      <c r="L724" s="949"/>
      <c r="M724" s="949"/>
      <c r="N724" s="949"/>
      <c r="O724" s="949"/>
      <c r="P724" s="949"/>
      <c r="Q724" s="949"/>
      <c r="R724" s="949"/>
      <c r="S724" s="949"/>
      <c r="T724" s="949"/>
      <c r="U724" s="949"/>
      <c r="V724" s="949"/>
      <c r="W724" s="949"/>
      <c r="X724" s="949"/>
      <c r="Y724" s="949"/>
      <c r="Z724" s="949"/>
      <c r="AA724" s="949"/>
      <c r="AB724" s="949"/>
      <c r="AC724" s="535"/>
      <c r="AD724" s="535"/>
      <c r="AE724" s="535"/>
      <c r="AF724" s="535"/>
      <c r="AG724" s="535"/>
      <c r="AH724" s="535"/>
      <c r="AI724" s="535"/>
      <c r="AJ724" s="535"/>
      <c r="AK724" s="535"/>
      <c r="AL724" s="535"/>
      <c r="AM724" s="549"/>
      <c r="AN724" s="683"/>
    </row>
    <row r="725" spans="1:81" s="569" customFormat="1" ht="12.75" customHeight="1">
      <c r="A725" s="605"/>
      <c r="B725" s="600"/>
      <c r="C725" s="937"/>
      <c r="D725" s="600"/>
      <c r="E725" s="600"/>
      <c r="F725" s="600"/>
      <c r="G725" s="600"/>
      <c r="H725" s="600"/>
      <c r="I725" s="600"/>
      <c r="J725" s="950"/>
      <c r="K725" s="950"/>
      <c r="L725" s="950"/>
      <c r="M725" s="950"/>
      <c r="N725" s="950"/>
      <c r="O725" s="950"/>
      <c r="P725" s="950"/>
      <c r="Q725" s="950"/>
      <c r="R725" s="950"/>
      <c r="S725" s="950"/>
      <c r="T725" s="950"/>
      <c r="U725" s="664"/>
      <c r="V725" s="664"/>
      <c r="W725" s="664"/>
      <c r="X725" s="664"/>
      <c r="Y725" s="938"/>
      <c r="Z725" s="938"/>
      <c r="AA725" s="938"/>
      <c r="AB725" s="600"/>
      <c r="AC725" s="600"/>
      <c r="AD725" s="600"/>
      <c r="AE725" s="600"/>
      <c r="AF725" s="600"/>
      <c r="AG725" s="600"/>
      <c r="AH725" s="600"/>
      <c r="AI725" s="564" t="s">
        <v>1438</v>
      </c>
      <c r="AJ725" s="2489">
        <f>VLOOKUP($H$723,$AP$720:$AQ$722,2,FALSE)</f>
        <v>2</v>
      </c>
      <c r="AK725" s="2491"/>
      <c r="AL725" s="594"/>
      <c r="AM725" s="549"/>
      <c r="AN725" s="683"/>
      <c r="AP725" s="2489"/>
      <c r="AQ725" s="2491"/>
    </row>
    <row r="726" spans="1:81" s="569" customFormat="1">
      <c r="A726" s="549"/>
      <c r="B726" s="609"/>
      <c r="C726" s="930"/>
      <c r="D726" s="934"/>
      <c r="E726" s="615"/>
      <c r="F726" s="615"/>
      <c r="G726" s="615"/>
      <c r="H726" s="615"/>
      <c r="I726" s="615"/>
      <c r="J726" s="615"/>
      <c r="K726" s="615"/>
      <c r="L726" s="615"/>
      <c r="M726" s="615"/>
      <c r="N726" s="615"/>
      <c r="O726" s="615"/>
      <c r="P726" s="615"/>
      <c r="Q726" s="615"/>
      <c r="R726" s="615"/>
      <c r="S726" s="615"/>
      <c r="T726" s="615"/>
      <c r="U726" s="615"/>
      <c r="V726" s="615"/>
      <c r="W726" s="615"/>
      <c r="X726" s="615"/>
      <c r="Y726" s="615"/>
      <c r="Z726" s="615"/>
      <c r="AA726" s="615"/>
      <c r="AB726" s="615"/>
      <c r="AC726" s="535"/>
      <c r="AD726" s="535"/>
      <c r="AE726" s="535"/>
      <c r="AF726" s="535"/>
      <c r="AG726" s="535"/>
      <c r="AH726" s="535"/>
      <c r="AI726" s="535"/>
      <c r="AJ726" s="535"/>
      <c r="AK726" s="535"/>
      <c r="AL726" s="535"/>
      <c r="AM726" s="549"/>
      <c r="AN726" s="683"/>
      <c r="AT726" s="14"/>
      <c r="AU726" s="14"/>
      <c r="AV726" s="14"/>
      <c r="AW726" s="14"/>
      <c r="AX726" s="14"/>
      <c r="AY726" s="14"/>
      <c r="AZ726" s="14"/>
    </row>
    <row r="727" spans="1:81" s="569" customFormat="1">
      <c r="A727" s="549"/>
      <c r="B727" s="535"/>
      <c r="C727" s="538" t="s">
        <v>1439</v>
      </c>
      <c r="D727" s="951"/>
      <c r="E727" s="615"/>
      <c r="F727" s="615"/>
      <c r="G727" s="615"/>
      <c r="H727" s="615"/>
      <c r="I727" s="615"/>
      <c r="J727" s="615"/>
      <c r="K727" s="615"/>
      <c r="L727" s="615"/>
      <c r="M727" s="615"/>
      <c r="N727" s="615"/>
      <c r="O727" s="615"/>
      <c r="P727" s="615"/>
      <c r="Q727" s="615"/>
      <c r="R727" s="615"/>
      <c r="S727" s="615"/>
      <c r="T727" s="615"/>
      <c r="U727" s="615"/>
      <c r="V727" s="615"/>
      <c r="W727" s="615"/>
      <c r="X727" s="615"/>
      <c r="Y727" s="615"/>
      <c r="Z727" s="615"/>
      <c r="AA727" s="615"/>
      <c r="AB727" s="615"/>
      <c r="AC727" s="535"/>
      <c r="AD727" s="535"/>
      <c r="AE727" s="535"/>
      <c r="AF727" s="535"/>
      <c r="AG727" s="535"/>
      <c r="AH727" s="535"/>
      <c r="AI727" s="535"/>
      <c r="AJ727" s="535"/>
      <c r="AK727" s="535"/>
      <c r="AL727" s="535"/>
      <c r="AM727" s="549"/>
      <c r="AN727" s="683"/>
      <c r="AT727" s="14"/>
      <c r="AU727" s="14"/>
      <c r="AV727" s="14"/>
      <c r="AW727" s="14"/>
      <c r="AX727" s="14"/>
      <c r="AY727" s="14"/>
      <c r="AZ727" s="14"/>
    </row>
    <row r="728" spans="1:81" s="569" customFormat="1">
      <c r="A728" s="549"/>
      <c r="B728" s="609"/>
      <c r="C728" s="930"/>
      <c r="D728" s="934"/>
      <c r="E728" s="615"/>
      <c r="F728" s="615"/>
      <c r="G728" s="615"/>
      <c r="H728" s="615"/>
      <c r="I728" s="615"/>
      <c r="J728" s="615"/>
      <c r="K728" s="615"/>
      <c r="L728" s="615"/>
      <c r="M728" s="615"/>
      <c r="N728" s="615"/>
      <c r="O728" s="615"/>
      <c r="P728" s="615"/>
      <c r="Q728" s="615"/>
      <c r="R728" s="615"/>
      <c r="S728" s="615"/>
      <c r="T728" s="615"/>
      <c r="U728" s="615"/>
      <c r="V728" s="615"/>
      <c r="W728" s="615"/>
      <c r="X728" s="615"/>
      <c r="Y728" s="615"/>
      <c r="Z728" s="615"/>
      <c r="AA728" s="615"/>
      <c r="AB728" s="615"/>
      <c r="AC728" s="535"/>
      <c r="AD728" s="535"/>
      <c r="AE728" s="535"/>
      <c r="AF728" s="535"/>
      <c r="AG728" s="535"/>
      <c r="AH728" s="535"/>
      <c r="AI728" s="535"/>
      <c r="AJ728" s="535"/>
      <c r="AK728" s="535"/>
      <c r="AL728" s="535"/>
      <c r="AM728" s="549"/>
      <c r="AN728" s="683"/>
      <c r="AT728" s="14"/>
      <c r="AU728" s="14"/>
      <c r="AV728" s="14"/>
      <c r="AW728" s="14"/>
      <c r="AX728" s="14"/>
      <c r="AY728" s="14"/>
      <c r="AZ728" s="14"/>
    </row>
    <row r="729" spans="1:81" s="569" customFormat="1">
      <c r="A729" s="549"/>
      <c r="B729" s="535"/>
      <c r="C729" s="930"/>
      <c r="D729" s="662" t="s">
        <v>688</v>
      </c>
      <c r="E729" s="2509" t="s">
        <v>1697</v>
      </c>
      <c r="F729" s="2509"/>
      <c r="G729" s="2509"/>
      <c r="H729" s="2509"/>
      <c r="I729" s="2509"/>
      <c r="J729" s="2509"/>
      <c r="K729" s="2509"/>
      <c r="L729" s="2509"/>
      <c r="M729" s="2509"/>
      <c r="N729" s="2509"/>
      <c r="O729" s="2509"/>
      <c r="P729" s="2509"/>
      <c r="Q729" s="2509"/>
      <c r="R729" s="2509"/>
      <c r="S729" s="2509"/>
      <c r="T729" s="2509"/>
      <c r="U729" s="2509"/>
      <c r="V729" s="2509"/>
      <c r="W729" s="2509"/>
      <c r="X729" s="2509"/>
      <c r="Y729" s="2509"/>
      <c r="Z729" s="2509"/>
      <c r="AA729" s="2509"/>
      <c r="AB729" s="2509"/>
      <c r="AC729" s="535"/>
      <c r="AD729" s="535"/>
      <c r="AE729" s="535"/>
      <c r="AF729" s="2454" t="s">
        <v>1353</v>
      </c>
      <c r="AG729" s="2454"/>
      <c r="AH729" s="2454"/>
      <c r="AI729" s="2454"/>
      <c r="AJ729" s="2454"/>
      <c r="AK729" s="2454"/>
      <c r="AL729" s="2454"/>
      <c r="AM729" s="549"/>
      <c r="AN729" s="683"/>
      <c r="AT729" s="14"/>
      <c r="AU729" s="14"/>
      <c r="AV729" s="14"/>
      <c r="AW729" s="14"/>
      <c r="AX729" s="14"/>
      <c r="AY729" s="14"/>
      <c r="AZ729" s="14"/>
    </row>
    <row r="730" spans="1:81" s="569" customFormat="1">
      <c r="A730" s="549"/>
      <c r="B730" s="535"/>
      <c r="C730" s="932"/>
      <c r="D730" s="662"/>
      <c r="E730" s="2509"/>
      <c r="F730" s="2509"/>
      <c r="G730" s="2509"/>
      <c r="H730" s="2509"/>
      <c r="I730" s="2509"/>
      <c r="J730" s="2509"/>
      <c r="K730" s="2509"/>
      <c r="L730" s="2509"/>
      <c r="M730" s="2509"/>
      <c r="N730" s="2509"/>
      <c r="O730" s="2509"/>
      <c r="P730" s="2509"/>
      <c r="Q730" s="2509"/>
      <c r="R730" s="2509"/>
      <c r="S730" s="2509"/>
      <c r="T730" s="2509"/>
      <c r="U730" s="2509"/>
      <c r="V730" s="2509"/>
      <c r="W730" s="2509"/>
      <c r="X730" s="2509"/>
      <c r="Y730" s="2509"/>
      <c r="Z730" s="2509"/>
      <c r="AA730" s="2509"/>
      <c r="AB730" s="2509"/>
      <c r="AC730" s="535"/>
      <c r="AD730" s="535"/>
      <c r="AE730" s="535"/>
      <c r="AF730" s="535"/>
      <c r="AG730" s="535"/>
      <c r="AH730" s="535"/>
      <c r="AI730" s="535"/>
      <c r="AJ730" s="535"/>
      <c r="AK730" s="535"/>
      <c r="AL730" s="535"/>
      <c r="AM730" s="549"/>
      <c r="AN730" s="683"/>
      <c r="AT730" s="14"/>
      <c r="AU730" s="14"/>
      <c r="AV730" s="14"/>
      <c r="AW730" s="14"/>
      <c r="AX730" s="14"/>
      <c r="AY730" s="14"/>
      <c r="AZ730" s="14"/>
    </row>
    <row r="731" spans="1:81" s="569" customFormat="1">
      <c r="A731" s="549"/>
      <c r="B731" s="609"/>
      <c r="C731" s="930"/>
      <c r="D731" s="662"/>
      <c r="E731" s="615"/>
      <c r="F731" s="615"/>
      <c r="G731" s="615"/>
      <c r="H731" s="615"/>
      <c r="I731" s="615"/>
      <c r="J731" s="615"/>
      <c r="K731" s="615"/>
      <c r="L731" s="615"/>
      <c r="M731" s="615"/>
      <c r="N731" s="615"/>
      <c r="O731" s="615"/>
      <c r="P731" s="615"/>
      <c r="Q731" s="615"/>
      <c r="R731" s="615"/>
      <c r="S731" s="615"/>
      <c r="T731" s="615"/>
      <c r="U731" s="615"/>
      <c r="V731" s="615"/>
      <c r="W731" s="615"/>
      <c r="X731" s="615"/>
      <c r="Y731" s="615"/>
      <c r="Z731" s="615"/>
      <c r="AA731" s="615"/>
      <c r="AB731" s="615"/>
      <c r="AC731" s="535"/>
      <c r="AD731" s="535"/>
      <c r="AE731" s="535"/>
      <c r="AF731" s="535"/>
      <c r="AG731" s="535"/>
      <c r="AH731" s="535"/>
      <c r="AI731" s="535"/>
      <c r="AJ731" s="535"/>
      <c r="AK731" s="535"/>
      <c r="AL731" s="535"/>
      <c r="AM731" s="549"/>
      <c r="AN731" s="683"/>
      <c r="AT731" s="14"/>
      <c r="AU731" s="14"/>
      <c r="AV731" s="14"/>
      <c r="AW731" s="14"/>
      <c r="AX731" s="14"/>
      <c r="AY731" s="14"/>
      <c r="AZ731" s="14"/>
    </row>
    <row r="732" spans="1:81" s="569" customFormat="1" ht="12.75" customHeight="1">
      <c r="A732" s="549"/>
      <c r="B732" s="535"/>
      <c r="C732" s="930"/>
      <c r="D732" s="662" t="s">
        <v>510</v>
      </c>
      <c r="E732" s="2509" t="s">
        <v>1440</v>
      </c>
      <c r="F732" s="2509"/>
      <c r="G732" s="2509"/>
      <c r="H732" s="2509"/>
      <c r="I732" s="2509"/>
      <c r="J732" s="2509"/>
      <c r="K732" s="2509"/>
      <c r="L732" s="2509"/>
      <c r="M732" s="2509"/>
      <c r="N732" s="2509"/>
      <c r="O732" s="2509"/>
      <c r="P732" s="2509"/>
      <c r="Q732" s="2509"/>
      <c r="R732" s="2509"/>
      <c r="S732" s="2509"/>
      <c r="T732" s="2509"/>
      <c r="U732" s="2509"/>
      <c r="V732" s="2509"/>
      <c r="W732" s="2509"/>
      <c r="X732" s="2509"/>
      <c r="Y732" s="2509"/>
      <c r="Z732" s="2509"/>
      <c r="AA732" s="2509"/>
      <c r="AB732" s="2509"/>
      <c r="AC732" s="535"/>
      <c r="AD732" s="535"/>
      <c r="AE732" s="535"/>
      <c r="AF732" s="2454" t="s">
        <v>1409</v>
      </c>
      <c r="AG732" s="2454"/>
      <c r="AH732" s="2454"/>
      <c r="AI732" s="2454"/>
      <c r="AJ732" s="2454"/>
      <c r="AK732" s="2454"/>
      <c r="AL732" s="2454"/>
      <c r="AM732" s="549"/>
      <c r="AN732" s="683"/>
      <c r="AT732" s="14"/>
      <c r="AU732" s="14"/>
      <c r="AV732" s="14"/>
      <c r="AW732" s="14"/>
      <c r="AX732" s="14"/>
      <c r="AY732" s="14"/>
      <c r="AZ732" s="14"/>
    </row>
    <row r="733" spans="1:81" s="569" customFormat="1">
      <c r="A733" s="549"/>
      <c r="B733" s="535"/>
      <c r="C733" s="932"/>
      <c r="D733" s="535"/>
      <c r="E733" s="2509"/>
      <c r="F733" s="2509"/>
      <c r="G733" s="2509"/>
      <c r="H733" s="2509"/>
      <c r="I733" s="2509"/>
      <c r="J733" s="2509"/>
      <c r="K733" s="2509"/>
      <c r="L733" s="2509"/>
      <c r="M733" s="2509"/>
      <c r="N733" s="2509"/>
      <c r="O733" s="2509"/>
      <c r="P733" s="2509"/>
      <c r="Q733" s="2509"/>
      <c r="R733" s="2509"/>
      <c r="S733" s="2509"/>
      <c r="T733" s="2509"/>
      <c r="U733" s="2509"/>
      <c r="V733" s="2509"/>
      <c r="W733" s="2509"/>
      <c r="X733" s="2509"/>
      <c r="Y733" s="2509"/>
      <c r="Z733" s="2509"/>
      <c r="AA733" s="2509"/>
      <c r="AB733" s="2509"/>
      <c r="AC733" s="535"/>
      <c r="AD733" s="535"/>
      <c r="AE733" s="535"/>
      <c r="AF733" s="535"/>
      <c r="AG733" s="535"/>
      <c r="AH733" s="535"/>
      <c r="AI733" s="535"/>
      <c r="AJ733" s="535"/>
      <c r="AK733" s="535"/>
      <c r="AL733" s="535"/>
      <c r="AM733" s="549"/>
      <c r="AN733" s="683"/>
      <c r="AT733" s="14"/>
      <c r="AU733" s="14"/>
      <c r="AV733" s="14"/>
      <c r="AW733" s="14"/>
      <c r="AX733" s="14"/>
      <c r="AY733" s="14"/>
      <c r="AZ733" s="14"/>
    </row>
    <row r="734" spans="1:81" s="569" customFormat="1">
      <c r="A734" s="549"/>
      <c r="B734" s="535"/>
      <c r="C734" s="932"/>
      <c r="D734" s="535"/>
      <c r="E734" s="642"/>
      <c r="F734" s="642"/>
      <c r="G734" s="642"/>
      <c r="H734" s="642"/>
      <c r="I734" s="642"/>
      <c r="J734" s="642"/>
      <c r="K734" s="642"/>
      <c r="L734" s="642"/>
      <c r="M734" s="642"/>
      <c r="N734" s="642"/>
      <c r="O734" s="642"/>
      <c r="P734" s="642"/>
      <c r="Q734" s="642"/>
      <c r="R734" s="642"/>
      <c r="S734" s="642"/>
      <c r="T734" s="642"/>
      <c r="U734" s="642"/>
      <c r="V734" s="642"/>
      <c r="W734" s="642"/>
      <c r="X734" s="642"/>
      <c r="Y734" s="642"/>
      <c r="Z734" s="642"/>
      <c r="AA734" s="642"/>
      <c r="AB734" s="642"/>
      <c r="AC734" s="535"/>
      <c r="AD734" s="535"/>
      <c r="AE734" s="535"/>
      <c r="AF734" s="535"/>
      <c r="AG734" s="535"/>
      <c r="AH734" s="535"/>
      <c r="AI734" s="535"/>
      <c r="AJ734" s="535"/>
      <c r="AK734" s="535"/>
      <c r="AL734" s="535"/>
      <c r="AM734" s="549"/>
      <c r="AN734" s="683"/>
      <c r="AT734" s="14"/>
      <c r="AU734" s="14"/>
      <c r="AV734" s="14"/>
      <c r="AW734" s="14"/>
      <c r="AX734" s="14"/>
      <c r="AY734" s="14"/>
      <c r="AZ734" s="14"/>
    </row>
    <row r="735" spans="1:81" s="569" customFormat="1" ht="12.75" customHeight="1">
      <c r="A735" s="549"/>
      <c r="B735" s="535"/>
      <c r="C735" s="932"/>
      <c r="D735" s="535" t="s">
        <v>1401</v>
      </c>
      <c r="E735" s="935"/>
      <c r="F735" s="935"/>
      <c r="G735" s="935"/>
      <c r="H735" s="2538" t="s">
        <v>688</v>
      </c>
      <c r="I735" s="2538"/>
      <c r="J735" s="642"/>
      <c r="K735" s="642"/>
      <c r="L735" s="642"/>
      <c r="M735" s="642"/>
      <c r="N735" s="642"/>
      <c r="O735" s="642"/>
      <c r="P735" s="642"/>
      <c r="Q735" s="642"/>
      <c r="R735" s="642"/>
      <c r="S735" s="642"/>
      <c r="T735" s="642"/>
      <c r="U735" s="642"/>
      <c r="V735" s="642"/>
      <c r="W735" s="642"/>
      <c r="X735" s="642"/>
      <c r="Y735" s="642"/>
      <c r="Z735" s="642"/>
      <c r="AA735" s="642"/>
      <c r="AB735" s="642"/>
      <c r="AC735" s="535"/>
      <c r="AD735" s="535"/>
      <c r="AE735" s="535"/>
      <c r="AF735" s="535"/>
      <c r="AG735" s="535"/>
      <c r="AH735" s="535"/>
      <c r="AI735" s="535"/>
      <c r="AJ735" s="535"/>
      <c r="AK735" s="535"/>
      <c r="AL735" s="535"/>
      <c r="AM735" s="549"/>
      <c r="AN735" s="683"/>
      <c r="AT735" s="14"/>
      <c r="AU735" s="14"/>
      <c r="AV735" s="14"/>
      <c r="AW735" s="14"/>
      <c r="AX735" s="14"/>
      <c r="AY735" s="14"/>
      <c r="AZ735" s="14"/>
    </row>
    <row r="736" spans="1:81" s="569" customFormat="1">
      <c r="A736" s="549"/>
      <c r="B736" s="535"/>
      <c r="C736" s="932"/>
      <c r="D736" s="535"/>
      <c r="E736" s="642"/>
      <c r="F736" s="642"/>
      <c r="G736" s="642"/>
      <c r="H736" s="642"/>
      <c r="I736" s="642"/>
      <c r="J736" s="642"/>
      <c r="K736" s="642"/>
      <c r="L736" s="642"/>
      <c r="M736" s="642"/>
      <c r="N736" s="642"/>
      <c r="O736" s="642"/>
      <c r="P736" s="642"/>
      <c r="Q736" s="642"/>
      <c r="R736" s="642"/>
      <c r="S736" s="642"/>
      <c r="T736" s="642"/>
      <c r="U736" s="642"/>
      <c r="V736" s="642"/>
      <c r="W736" s="642"/>
      <c r="X736" s="642"/>
      <c r="Y736" s="642"/>
      <c r="Z736" s="642"/>
      <c r="AA736" s="642"/>
      <c r="AB736" s="642"/>
      <c r="AC736" s="535"/>
      <c r="AD736" s="535"/>
      <c r="AE736" s="535"/>
      <c r="AF736" s="535"/>
      <c r="AG736" s="535"/>
      <c r="AH736" s="535"/>
      <c r="AI736" s="535"/>
      <c r="AJ736" s="535"/>
      <c r="AK736" s="535"/>
      <c r="AL736" s="535"/>
      <c r="AM736" s="549"/>
      <c r="AN736" s="683"/>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69" customFormat="1">
      <c r="A737" s="605"/>
      <c r="B737" s="600"/>
      <c r="C737" s="937"/>
      <c r="D737" s="600"/>
      <c r="E737" s="948"/>
      <c r="F737" s="948"/>
      <c r="G737" s="948"/>
      <c r="H737" s="948"/>
      <c r="I737" s="948"/>
      <c r="J737" s="948"/>
      <c r="K737" s="948"/>
      <c r="L737" s="948"/>
      <c r="M737" s="948"/>
      <c r="N737" s="948"/>
      <c r="O737" s="948"/>
      <c r="P737" s="948"/>
      <c r="Q737" s="948"/>
      <c r="R737" s="948"/>
      <c r="S737" s="948"/>
      <c r="T737" s="948"/>
      <c r="U737" s="948"/>
      <c r="V737" s="664"/>
      <c r="W737" s="664"/>
      <c r="X737" s="664"/>
      <c r="Y737" s="938"/>
      <c r="Z737" s="938"/>
      <c r="AA737" s="938"/>
      <c r="AB737" s="600"/>
      <c r="AC737" s="600"/>
      <c r="AD737" s="600"/>
      <c r="AE737" s="600"/>
      <c r="AF737" s="600"/>
      <c r="AG737" s="600"/>
      <c r="AH737" s="600"/>
      <c r="AI737" s="564" t="s">
        <v>1441</v>
      </c>
      <c r="AJ737" s="2489">
        <f>VLOOKUP($H$735,$AO$666:$AP$668,2,FALSE)</f>
        <v>3</v>
      </c>
      <c r="AK737" s="2491"/>
      <c r="AL737" s="594"/>
      <c r="AM737" s="549"/>
      <c r="AN737" s="683"/>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69" customFormat="1" ht="12.75" customHeight="1">
      <c r="A738" s="549"/>
      <c r="B738" s="535"/>
      <c r="C738" s="932"/>
      <c r="D738" s="535"/>
      <c r="E738" s="535"/>
      <c r="F738" s="535"/>
      <c r="G738" s="535"/>
      <c r="H738" s="535"/>
      <c r="I738" s="535"/>
      <c r="J738" s="642"/>
      <c r="K738" s="642"/>
      <c r="L738" s="642"/>
      <c r="M738" s="642"/>
      <c r="N738" s="535"/>
      <c r="O738" s="535"/>
      <c r="P738" s="535"/>
      <c r="Q738" s="535"/>
      <c r="R738" s="535"/>
      <c r="S738" s="535"/>
      <c r="T738" s="535"/>
      <c r="U738" s="535"/>
      <c r="V738" s="535"/>
      <c r="W738" s="535"/>
      <c r="X738" s="535"/>
      <c r="Y738" s="535"/>
      <c r="Z738" s="535"/>
      <c r="AA738" s="535"/>
      <c r="AB738" s="535"/>
      <c r="AC738" s="535"/>
      <c r="AD738" s="535"/>
      <c r="AE738" s="535"/>
      <c r="AF738" s="535"/>
      <c r="AG738" s="535"/>
      <c r="AH738" s="535"/>
      <c r="AI738" s="535"/>
      <c r="AJ738" s="535"/>
      <c r="AK738" s="535"/>
      <c r="AL738" s="535"/>
      <c r="AM738" s="549"/>
      <c r="AN738" s="683"/>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69" customFormat="1" ht="12.75" customHeight="1">
      <c r="A739" s="549"/>
      <c r="B739" s="535"/>
      <c r="C739" s="538" t="s">
        <v>1442</v>
      </c>
      <c r="D739" s="535"/>
      <c r="E739" s="535"/>
      <c r="F739" s="535"/>
      <c r="G739" s="535"/>
      <c r="H739" s="535"/>
      <c r="I739" s="535"/>
      <c r="J739" s="535"/>
      <c r="K739" s="535"/>
      <c r="L739" s="535"/>
      <c r="M739" s="535"/>
      <c r="N739" s="535"/>
      <c r="O739" s="535"/>
      <c r="P739" s="535"/>
      <c r="Q739" s="535"/>
      <c r="R739" s="535"/>
      <c r="S739" s="535"/>
      <c r="T739" s="535"/>
      <c r="U739" s="535"/>
      <c r="V739" s="535"/>
      <c r="W739" s="535"/>
      <c r="X739" s="535"/>
      <c r="Y739" s="535"/>
      <c r="Z739" s="535"/>
      <c r="AA739" s="535"/>
      <c r="AB739" s="535"/>
      <c r="AC739" s="535"/>
      <c r="AD739" s="535"/>
      <c r="AE739" s="535"/>
      <c r="AF739" s="535"/>
      <c r="AG739" s="535"/>
      <c r="AH739" s="535"/>
      <c r="AI739" s="535"/>
      <c r="AJ739" s="535"/>
      <c r="AK739" s="535"/>
      <c r="AL739" s="535"/>
      <c r="AM739" s="549"/>
      <c r="AN739" s="683"/>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69" customFormat="1">
      <c r="A740" s="549"/>
      <c r="B740" s="609"/>
      <c r="C740" s="952"/>
      <c r="D740" s="609"/>
      <c r="E740" s="609"/>
      <c r="F740" s="535"/>
      <c r="G740" s="535"/>
      <c r="H740" s="609"/>
      <c r="I740" s="609"/>
      <c r="J740" s="609"/>
      <c r="K740" s="609"/>
      <c r="L740" s="609"/>
      <c r="M740" s="609"/>
      <c r="N740" s="609"/>
      <c r="O740" s="609"/>
      <c r="P740" s="609"/>
      <c r="Q740" s="609"/>
      <c r="R740" s="609"/>
      <c r="S740" s="609"/>
      <c r="T740" s="535"/>
      <c r="U740" s="535"/>
      <c r="V740" s="535"/>
      <c r="W740" s="535"/>
      <c r="X740" s="594"/>
      <c r="Y740" s="594"/>
      <c r="Z740" s="594"/>
      <c r="AA740" s="594"/>
      <c r="AB740" s="594"/>
      <c r="AC740" s="535"/>
      <c r="AD740" s="535"/>
      <c r="AE740" s="535"/>
      <c r="AF740" s="535"/>
      <c r="AG740" s="535"/>
      <c r="AH740" s="535"/>
      <c r="AI740" s="535"/>
      <c r="AJ740" s="535"/>
      <c r="AK740" s="535"/>
      <c r="AL740" s="535"/>
      <c r="AM740" s="549"/>
      <c r="AN740" s="683"/>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69" customFormat="1">
      <c r="A741" s="549"/>
      <c r="B741" s="535"/>
      <c r="C741" s="930"/>
      <c r="D741" s="662" t="s">
        <v>688</v>
      </c>
      <c r="E741" s="2509" t="s">
        <v>1443</v>
      </c>
      <c r="F741" s="2509"/>
      <c r="G741" s="2509"/>
      <c r="H741" s="2509"/>
      <c r="I741" s="2509"/>
      <c r="J741" s="2509"/>
      <c r="K741" s="2509"/>
      <c r="L741" s="2509"/>
      <c r="M741" s="2509"/>
      <c r="N741" s="2509"/>
      <c r="O741" s="2509"/>
      <c r="P741" s="2509"/>
      <c r="Q741" s="2509"/>
      <c r="R741" s="2509"/>
      <c r="S741" s="2509"/>
      <c r="T741" s="2509"/>
      <c r="U741" s="2509"/>
      <c r="V741" s="2509"/>
      <c r="W741" s="2509"/>
      <c r="X741" s="2509"/>
      <c r="Y741" s="2509"/>
      <c r="Z741" s="2509"/>
      <c r="AA741" s="2509"/>
      <c r="AB741" s="2509"/>
      <c r="AC741" s="535"/>
      <c r="AD741" s="535"/>
      <c r="AE741" s="535"/>
      <c r="AF741" s="2454" t="s">
        <v>1353</v>
      </c>
      <c r="AG741" s="2454"/>
      <c r="AH741" s="2454"/>
      <c r="AI741" s="2454"/>
      <c r="AJ741" s="2454"/>
      <c r="AK741" s="2454"/>
      <c r="AL741" s="2454"/>
      <c r="AM741" s="549"/>
      <c r="AN741" s="683"/>
      <c r="AT741" s="14"/>
      <c r="AU741" s="14"/>
      <c r="AV741" s="14"/>
      <c r="AW741" s="14"/>
      <c r="AX741" s="14"/>
      <c r="AY741" s="14"/>
      <c r="AZ741" s="14"/>
    </row>
    <row r="742" spans="1:81" s="569" customFormat="1">
      <c r="A742" s="549"/>
      <c r="B742" s="535"/>
      <c r="C742" s="930"/>
      <c r="D742" s="662"/>
      <c r="E742" s="2509"/>
      <c r="F742" s="2509"/>
      <c r="G742" s="2509"/>
      <c r="H742" s="2509"/>
      <c r="I742" s="2509"/>
      <c r="J742" s="2509"/>
      <c r="K742" s="2509"/>
      <c r="L742" s="2509"/>
      <c r="M742" s="2509"/>
      <c r="N742" s="2509"/>
      <c r="O742" s="2509"/>
      <c r="P742" s="2509"/>
      <c r="Q742" s="2509"/>
      <c r="R742" s="2509"/>
      <c r="S742" s="2509"/>
      <c r="T742" s="2509"/>
      <c r="U742" s="2509"/>
      <c r="V742" s="2509"/>
      <c r="W742" s="2509"/>
      <c r="X742" s="2509"/>
      <c r="Y742" s="2509"/>
      <c r="Z742" s="2509"/>
      <c r="AA742" s="2509"/>
      <c r="AB742" s="2509"/>
      <c r="AC742" s="535"/>
      <c r="AD742" s="535"/>
      <c r="AE742" s="535"/>
      <c r="AF742" s="593"/>
      <c r="AG742" s="593"/>
      <c r="AH742" s="593"/>
      <c r="AI742" s="593"/>
      <c r="AJ742" s="593"/>
      <c r="AK742" s="593"/>
      <c r="AL742" s="593"/>
      <c r="AM742" s="549"/>
      <c r="AN742" s="683"/>
      <c r="AT742" s="14"/>
      <c r="AU742" s="14"/>
      <c r="AV742" s="14"/>
      <c r="AW742" s="14"/>
      <c r="AX742" s="14"/>
      <c r="AY742" s="14"/>
      <c r="AZ742" s="14"/>
    </row>
    <row r="743" spans="1:81" s="569" customFormat="1">
      <c r="A743" s="549"/>
      <c r="B743" s="535"/>
      <c r="C743" s="932"/>
      <c r="D743" s="662"/>
      <c r="E743" s="2509"/>
      <c r="F743" s="2509"/>
      <c r="G743" s="2509"/>
      <c r="H743" s="2509"/>
      <c r="I743" s="2509"/>
      <c r="J743" s="2509"/>
      <c r="K743" s="2509"/>
      <c r="L743" s="2509"/>
      <c r="M743" s="2509"/>
      <c r="N743" s="2509"/>
      <c r="O743" s="2509"/>
      <c r="P743" s="2509"/>
      <c r="Q743" s="2509"/>
      <c r="R743" s="2509"/>
      <c r="S743" s="2509"/>
      <c r="T743" s="2509"/>
      <c r="U743" s="2509"/>
      <c r="V743" s="2509"/>
      <c r="W743" s="2509"/>
      <c r="X743" s="2509"/>
      <c r="Y743" s="2509"/>
      <c r="Z743" s="2509"/>
      <c r="AA743" s="2509"/>
      <c r="AB743" s="2509"/>
      <c r="AC743" s="535"/>
      <c r="AD743" s="535"/>
      <c r="AE743" s="535"/>
      <c r="AF743" s="535"/>
      <c r="AG743" s="535"/>
      <c r="AH743" s="535"/>
      <c r="AI743" s="535"/>
      <c r="AJ743" s="535"/>
      <c r="AK743" s="535"/>
      <c r="AL743" s="535"/>
      <c r="AM743" s="549"/>
      <c r="AN743" s="683"/>
    </row>
    <row r="744" spans="1:81" s="569" customFormat="1" ht="12.75" customHeight="1">
      <c r="A744" s="549"/>
      <c r="B744" s="535"/>
      <c r="C744" s="932"/>
      <c r="D744" s="662"/>
      <c r="E744" s="2509"/>
      <c r="F744" s="2509"/>
      <c r="G744" s="2509"/>
      <c r="H744" s="2509"/>
      <c r="I744" s="2509"/>
      <c r="J744" s="2509"/>
      <c r="K744" s="2509"/>
      <c r="L744" s="2509"/>
      <c r="M744" s="2509"/>
      <c r="N744" s="2509"/>
      <c r="O744" s="2509"/>
      <c r="P744" s="2509"/>
      <c r="Q744" s="2509"/>
      <c r="R744" s="2509"/>
      <c r="S744" s="2509"/>
      <c r="T744" s="2509"/>
      <c r="U744" s="2509"/>
      <c r="V744" s="2509"/>
      <c r="W744" s="2509"/>
      <c r="X744" s="2509"/>
      <c r="Y744" s="2509"/>
      <c r="Z744" s="2509"/>
      <c r="AA744" s="2509"/>
      <c r="AB744" s="2509"/>
      <c r="AC744" s="535"/>
      <c r="AD744" s="535"/>
      <c r="AE744" s="535"/>
      <c r="AF744" s="535"/>
      <c r="AG744" s="535"/>
      <c r="AH744" s="535"/>
      <c r="AI744" s="535"/>
      <c r="AJ744" s="535"/>
      <c r="AK744" s="535"/>
      <c r="AL744" s="535"/>
      <c r="AM744" s="549"/>
      <c r="AN744" s="533"/>
      <c r="AO744" s="14"/>
    </row>
    <row r="745" spans="1:81" s="569" customFormat="1">
      <c r="A745" s="678"/>
      <c r="B745" s="594"/>
      <c r="C745" s="930"/>
      <c r="D745" s="662"/>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535"/>
      <c r="AD745" s="535"/>
      <c r="AE745" s="535"/>
      <c r="AF745" s="535"/>
      <c r="AG745" s="535"/>
      <c r="AH745" s="535"/>
      <c r="AI745" s="535"/>
      <c r="AJ745" s="535"/>
      <c r="AK745" s="535"/>
      <c r="AL745" s="535"/>
      <c r="AM745" s="549"/>
      <c r="AN745" s="683"/>
      <c r="AO745" s="30"/>
      <c r="AP745" s="14"/>
    </row>
    <row r="746" spans="1:81" s="569" customFormat="1">
      <c r="A746" s="549"/>
      <c r="B746" s="535"/>
      <c r="C746" s="930"/>
      <c r="D746" s="662" t="s">
        <v>510</v>
      </c>
      <c r="E746" s="2509" t="s">
        <v>1444</v>
      </c>
      <c r="F746" s="2509"/>
      <c r="G746" s="2509"/>
      <c r="H746" s="2509"/>
      <c r="I746" s="2509"/>
      <c r="J746" s="2509"/>
      <c r="K746" s="2509"/>
      <c r="L746" s="2509"/>
      <c r="M746" s="2509"/>
      <c r="N746" s="2509"/>
      <c r="O746" s="2509"/>
      <c r="P746" s="2509"/>
      <c r="Q746" s="2509"/>
      <c r="R746" s="2509"/>
      <c r="S746" s="2509"/>
      <c r="T746" s="2509"/>
      <c r="U746" s="2509"/>
      <c r="V746" s="2509"/>
      <c r="W746" s="2509"/>
      <c r="X746" s="2509"/>
      <c r="Y746" s="2509"/>
      <c r="Z746" s="2509"/>
      <c r="AA746" s="2509"/>
      <c r="AB746" s="574"/>
      <c r="AC746" s="535"/>
      <c r="AD746" s="535"/>
      <c r="AE746" s="535"/>
      <c r="AF746" s="2454" t="s">
        <v>1409</v>
      </c>
      <c r="AG746" s="2454"/>
      <c r="AH746" s="2454"/>
      <c r="AI746" s="2454"/>
      <c r="AJ746" s="2454"/>
      <c r="AK746" s="2454"/>
      <c r="AL746" s="2454"/>
      <c r="AM746" s="549"/>
      <c r="AN746" s="683"/>
      <c r="AO746" s="30"/>
      <c r="AP746" s="14"/>
    </row>
    <row r="747" spans="1:81" s="569" customFormat="1">
      <c r="A747" s="549"/>
      <c r="B747" s="535"/>
      <c r="C747" s="930"/>
      <c r="D747" s="662"/>
      <c r="E747" s="2509"/>
      <c r="F747" s="2509"/>
      <c r="G747" s="2509"/>
      <c r="H747" s="2509"/>
      <c r="I747" s="2509"/>
      <c r="J747" s="2509"/>
      <c r="K747" s="2509"/>
      <c r="L747" s="2509"/>
      <c r="M747" s="2509"/>
      <c r="N747" s="2509"/>
      <c r="O747" s="2509"/>
      <c r="P747" s="2509"/>
      <c r="Q747" s="2509"/>
      <c r="R747" s="2509"/>
      <c r="S747" s="2509"/>
      <c r="T747" s="2509"/>
      <c r="U747" s="2509"/>
      <c r="V747" s="2509"/>
      <c r="W747" s="2509"/>
      <c r="X747" s="2509"/>
      <c r="Y747" s="2509"/>
      <c r="Z747" s="2509"/>
      <c r="AA747" s="2509"/>
      <c r="AB747" s="574"/>
      <c r="AC747" s="535"/>
      <c r="AD747" s="535"/>
      <c r="AE747" s="535"/>
      <c r="AF747" s="593"/>
      <c r="AG747" s="593"/>
      <c r="AH747" s="593"/>
      <c r="AI747" s="593"/>
      <c r="AJ747" s="593"/>
      <c r="AK747" s="593"/>
      <c r="AL747" s="593"/>
      <c r="AM747" s="549"/>
      <c r="AN747" s="683"/>
      <c r="AO747" s="30"/>
      <c r="AP747" s="14"/>
    </row>
    <row r="748" spans="1:81" s="569" customFormat="1">
      <c r="A748" s="549"/>
      <c r="B748" s="535"/>
      <c r="C748" s="930"/>
      <c r="D748" s="535"/>
      <c r="E748" s="2509"/>
      <c r="F748" s="2509"/>
      <c r="G748" s="2509"/>
      <c r="H748" s="2509"/>
      <c r="I748" s="2509"/>
      <c r="J748" s="2509"/>
      <c r="K748" s="2509"/>
      <c r="L748" s="2509"/>
      <c r="M748" s="2509"/>
      <c r="N748" s="2509"/>
      <c r="O748" s="2509"/>
      <c r="P748" s="2509"/>
      <c r="Q748" s="2509"/>
      <c r="R748" s="2509"/>
      <c r="S748" s="2509"/>
      <c r="T748" s="2509"/>
      <c r="U748" s="2509"/>
      <c r="V748" s="2509"/>
      <c r="W748" s="2509"/>
      <c r="X748" s="2509"/>
      <c r="Y748" s="2509"/>
      <c r="Z748" s="2509"/>
      <c r="AA748" s="2509"/>
      <c r="AB748" s="574"/>
      <c r="AC748" s="593"/>
      <c r="AD748" s="593"/>
      <c r="AE748" s="593"/>
      <c r="AF748" s="593"/>
      <c r="AG748" s="593"/>
      <c r="AH748" s="593"/>
      <c r="AI748" s="593"/>
      <c r="AJ748" s="535"/>
      <c r="AK748" s="535"/>
      <c r="AL748" s="535"/>
      <c r="AM748" s="549"/>
      <c r="AN748" s="683"/>
      <c r="AO748" s="30"/>
      <c r="AP748" s="14"/>
    </row>
    <row r="749" spans="1:81" s="569" customFormat="1">
      <c r="A749" s="549"/>
      <c r="B749" s="535"/>
      <c r="C749" s="930"/>
      <c r="D749" s="535"/>
      <c r="E749" s="2509"/>
      <c r="F749" s="2509"/>
      <c r="G749" s="2509"/>
      <c r="H749" s="2509"/>
      <c r="I749" s="2509"/>
      <c r="J749" s="2509"/>
      <c r="K749" s="2509"/>
      <c r="L749" s="2509"/>
      <c r="M749" s="2509"/>
      <c r="N749" s="2509"/>
      <c r="O749" s="2509"/>
      <c r="P749" s="2509"/>
      <c r="Q749" s="2509"/>
      <c r="R749" s="2509"/>
      <c r="S749" s="2509"/>
      <c r="T749" s="2509"/>
      <c r="U749" s="2509"/>
      <c r="V749" s="2509"/>
      <c r="W749" s="2509"/>
      <c r="X749" s="2509"/>
      <c r="Y749" s="2509"/>
      <c r="Z749" s="2509"/>
      <c r="AA749" s="2509"/>
      <c r="AB749" s="574"/>
      <c r="AC749" s="593"/>
      <c r="AD749" s="593"/>
      <c r="AE749" s="593"/>
      <c r="AF749" s="593"/>
      <c r="AG749" s="593"/>
      <c r="AH749" s="593"/>
      <c r="AI749" s="593"/>
      <c r="AJ749" s="535"/>
      <c r="AK749" s="535"/>
      <c r="AL749" s="535"/>
      <c r="AM749" s="549"/>
      <c r="AN749" s="683"/>
      <c r="AO749" s="30"/>
      <c r="AP749" s="14"/>
    </row>
    <row r="750" spans="1:81" s="569" customFormat="1">
      <c r="A750" s="549"/>
      <c r="B750" s="535"/>
      <c r="C750" s="930"/>
      <c r="D750" s="535"/>
      <c r="E750" s="641"/>
      <c r="F750" s="641"/>
      <c r="G750" s="641"/>
      <c r="H750" s="641"/>
      <c r="I750" s="641"/>
      <c r="J750" s="641"/>
      <c r="K750" s="641"/>
      <c r="L750" s="641"/>
      <c r="M750" s="641"/>
      <c r="N750" s="641"/>
      <c r="O750" s="641"/>
      <c r="P750" s="641"/>
      <c r="Q750" s="641"/>
      <c r="R750" s="641"/>
      <c r="S750" s="641"/>
      <c r="T750" s="641"/>
      <c r="U750" s="641"/>
      <c r="V750" s="641"/>
      <c r="W750" s="641"/>
      <c r="X750" s="641"/>
      <c r="Y750" s="641"/>
      <c r="Z750" s="641"/>
      <c r="AA750" s="641"/>
      <c r="AB750" s="641"/>
      <c r="AC750" s="593"/>
      <c r="AD750" s="593"/>
      <c r="AE750" s="593"/>
      <c r="AF750" s="593"/>
      <c r="AG750" s="593"/>
      <c r="AH750" s="593"/>
      <c r="AI750" s="593"/>
      <c r="AJ750" s="535"/>
      <c r="AK750" s="535"/>
      <c r="AL750" s="535"/>
      <c r="AM750" s="549"/>
      <c r="AN750" s="683"/>
    </row>
    <row r="751" spans="1:81" s="569" customFormat="1" ht="12.75" customHeight="1">
      <c r="A751" s="549"/>
      <c r="B751" s="535"/>
      <c r="C751" s="930"/>
      <c r="D751" s="535" t="s">
        <v>1401</v>
      </c>
      <c r="E751" s="935"/>
      <c r="F751" s="935"/>
      <c r="G751" s="935"/>
      <c r="H751" s="2538" t="s">
        <v>688</v>
      </c>
      <c r="I751" s="2538"/>
      <c r="J751" s="641"/>
      <c r="K751" s="641"/>
      <c r="L751" s="641"/>
      <c r="M751" s="641"/>
      <c r="N751" s="641"/>
      <c r="O751" s="641"/>
      <c r="P751" s="641"/>
      <c r="Q751" s="641"/>
      <c r="R751" s="641"/>
      <c r="S751" s="641"/>
      <c r="T751" s="641"/>
      <c r="U751" s="641"/>
      <c r="V751" s="641"/>
      <c r="W751" s="641"/>
      <c r="X751" s="641"/>
      <c r="Y751" s="641"/>
      <c r="Z751" s="641"/>
      <c r="AA751" s="641"/>
      <c r="AB751" s="641"/>
      <c r="AC751" s="593"/>
      <c r="AD751" s="593"/>
      <c r="AE751" s="593"/>
      <c r="AF751" s="593"/>
      <c r="AG751" s="593"/>
      <c r="AH751" s="593"/>
      <c r="AI751" s="593"/>
      <c r="AJ751" s="535"/>
      <c r="AK751" s="535"/>
      <c r="AL751" s="535"/>
      <c r="AM751" s="549"/>
      <c r="AN751" s="683"/>
    </row>
    <row r="752" spans="1:81" s="569" customFormat="1" ht="12.75" customHeight="1">
      <c r="A752" s="549"/>
      <c r="B752" s="535"/>
      <c r="C752" s="930"/>
      <c r="D752" s="535"/>
      <c r="E752" s="641"/>
      <c r="F752" s="641"/>
      <c r="G752" s="641"/>
      <c r="H752" s="641"/>
      <c r="I752" s="641"/>
      <c r="J752" s="641"/>
      <c r="K752" s="641"/>
      <c r="L752" s="641"/>
      <c r="M752" s="641"/>
      <c r="N752" s="641"/>
      <c r="O752" s="641"/>
      <c r="P752" s="641"/>
      <c r="Q752" s="641"/>
      <c r="R752" s="641"/>
      <c r="S752" s="641"/>
      <c r="T752" s="641"/>
      <c r="U752" s="641"/>
      <c r="V752" s="641"/>
      <c r="W752" s="641"/>
      <c r="X752" s="641"/>
      <c r="Y752" s="641"/>
      <c r="Z752" s="641"/>
      <c r="AA752" s="641"/>
      <c r="AB752" s="641"/>
      <c r="AC752" s="593"/>
      <c r="AD752" s="593"/>
      <c r="AE752" s="593"/>
      <c r="AF752" s="593"/>
      <c r="AG752" s="593"/>
      <c r="AH752" s="593"/>
      <c r="AI752" s="593"/>
      <c r="AJ752" s="535"/>
      <c r="AK752" s="535"/>
      <c r="AL752" s="535"/>
      <c r="AM752" s="549"/>
      <c r="AN752" s="533"/>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69" customFormat="1">
      <c r="A753" s="605"/>
      <c r="B753" s="600"/>
      <c r="C753" s="943"/>
      <c r="D753" s="600"/>
      <c r="E753" s="953"/>
      <c r="F753" s="953"/>
      <c r="G753" s="953"/>
      <c r="H753" s="953"/>
      <c r="I753" s="953"/>
      <c r="J753" s="953"/>
      <c r="K753" s="953"/>
      <c r="L753" s="953"/>
      <c r="M753" s="953"/>
      <c r="N753" s="953"/>
      <c r="O753" s="953"/>
      <c r="P753" s="953"/>
      <c r="Q753" s="953"/>
      <c r="R753" s="953"/>
      <c r="S753" s="953"/>
      <c r="T753" s="953"/>
      <c r="U753" s="953"/>
      <c r="V753" s="953"/>
      <c r="W753" s="953"/>
      <c r="X753" s="953"/>
      <c r="Y753" s="953"/>
      <c r="Z753" s="953"/>
      <c r="AA753" s="953"/>
      <c r="AB753" s="686"/>
      <c r="AC753" s="686"/>
      <c r="AD753" s="686"/>
      <c r="AE753" s="686"/>
      <c r="AF753" s="686"/>
      <c r="AG753" s="686"/>
      <c r="AH753" s="600"/>
      <c r="AI753" s="564" t="s">
        <v>1445</v>
      </c>
      <c r="AJ753" s="2489">
        <f>VLOOKUP($H$751,$AO$680:$AP$682,2,FALSE)</f>
        <v>3</v>
      </c>
      <c r="AK753" s="2491"/>
      <c r="AL753" s="594"/>
      <c r="AM753" s="549"/>
      <c r="AN753" s="533"/>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69" customFormat="1" ht="12.75" customHeight="1">
      <c r="A754" s="636"/>
      <c r="B754" s="535"/>
      <c r="C754" s="932"/>
      <c r="D754" s="535"/>
      <c r="E754" s="535"/>
      <c r="F754" s="535"/>
      <c r="G754" s="535"/>
      <c r="H754" s="535"/>
      <c r="I754" s="535"/>
      <c r="J754" s="641"/>
      <c r="K754" s="641"/>
      <c r="L754" s="642"/>
      <c r="M754" s="642"/>
      <c r="N754" s="642"/>
      <c r="O754" s="642"/>
      <c r="P754" s="642"/>
      <c r="Q754" s="642"/>
      <c r="R754" s="642"/>
      <c r="S754" s="642"/>
      <c r="T754" s="642"/>
      <c r="U754" s="642"/>
      <c r="V754" s="615"/>
      <c r="W754" s="615"/>
      <c r="X754" s="615"/>
      <c r="Y754" s="615"/>
      <c r="Z754" s="935"/>
      <c r="AA754" s="935"/>
      <c r="AB754" s="935"/>
      <c r="AC754" s="535"/>
      <c r="AD754" s="535"/>
      <c r="AE754" s="535"/>
      <c r="AF754" s="535"/>
      <c r="AG754" s="535"/>
      <c r="AH754" s="535"/>
      <c r="AI754" s="535"/>
      <c r="AJ754" s="535"/>
      <c r="AK754" s="535"/>
      <c r="AL754" s="535"/>
      <c r="AM754" s="549"/>
      <c r="AN754" s="533"/>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69" customFormat="1">
      <c r="A755" s="549"/>
      <c r="B755" s="535"/>
      <c r="C755" s="538" t="s">
        <v>1435</v>
      </c>
      <c r="D755" s="615"/>
      <c r="E755" s="535"/>
      <c r="F755" s="535"/>
      <c r="G755" s="535"/>
      <c r="H755" s="535"/>
      <c r="I755" s="535"/>
      <c r="J755" s="535"/>
      <c r="K755" s="535"/>
      <c r="L755" s="535"/>
      <c r="M755" s="535"/>
      <c r="N755" s="535"/>
      <c r="O755" s="535"/>
      <c r="P755" s="535"/>
      <c r="Q755" s="535"/>
      <c r="R755" s="535"/>
      <c r="S755" s="535"/>
      <c r="T755" s="535"/>
      <c r="U755" s="535"/>
      <c r="V755" s="535"/>
      <c r="W755" s="535"/>
      <c r="X755" s="535"/>
      <c r="Y755" s="535"/>
      <c r="Z755" s="535"/>
      <c r="AA755" s="535"/>
      <c r="AB755" s="535"/>
      <c r="AC755" s="535"/>
      <c r="AD755" s="535"/>
      <c r="AE755" s="535"/>
      <c r="AF755" s="535"/>
      <c r="AG755" s="535"/>
      <c r="AH755" s="535"/>
      <c r="AI755" s="535"/>
      <c r="AJ755" s="535"/>
      <c r="AK755" s="535"/>
      <c r="AL755" s="535"/>
      <c r="AM755" s="549"/>
      <c r="AN755" s="533"/>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69" customFormat="1">
      <c r="A756" s="549"/>
      <c r="B756" s="615"/>
      <c r="C756" s="535"/>
      <c r="D756" s="535"/>
      <c r="E756" s="615"/>
      <c r="F756" s="615"/>
      <c r="G756" s="615"/>
      <c r="H756" s="615"/>
      <c r="I756" s="615"/>
      <c r="J756" s="615"/>
      <c r="K756" s="615"/>
      <c r="L756" s="615"/>
      <c r="M756" s="615"/>
      <c r="N756" s="615"/>
      <c r="O756" s="615"/>
      <c r="P756" s="615"/>
      <c r="Q756" s="615"/>
      <c r="R756" s="615"/>
      <c r="S756" s="615"/>
      <c r="T756" s="615"/>
      <c r="U756" s="615"/>
      <c r="V756" s="615"/>
      <c r="W756" s="615"/>
      <c r="X756" s="615"/>
      <c r="Y756" s="615"/>
      <c r="Z756" s="615"/>
      <c r="AA756" s="615"/>
      <c r="AB756" s="615"/>
      <c r="AC756" s="615"/>
      <c r="AD756" s="615"/>
      <c r="AE756" s="615"/>
      <c r="AF756" s="615"/>
      <c r="AG756" s="615"/>
      <c r="AH756" s="615"/>
      <c r="AI756" s="535"/>
      <c r="AJ756" s="535"/>
      <c r="AK756" s="535"/>
      <c r="AL756" s="535"/>
      <c r="AM756" s="549"/>
      <c r="AN756" s="533"/>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69" customFormat="1">
      <c r="A757" s="549"/>
      <c r="B757" s="535"/>
      <c r="C757" s="930"/>
      <c r="D757" s="662" t="s">
        <v>688</v>
      </c>
      <c r="E757" s="2509" t="s">
        <v>1446</v>
      </c>
      <c r="F757" s="2509"/>
      <c r="G757" s="2509"/>
      <c r="H757" s="2509"/>
      <c r="I757" s="2509"/>
      <c r="J757" s="2509"/>
      <c r="K757" s="2509"/>
      <c r="L757" s="2509"/>
      <c r="M757" s="2509"/>
      <c r="N757" s="2509"/>
      <c r="O757" s="2509"/>
      <c r="P757" s="2509"/>
      <c r="Q757" s="2509"/>
      <c r="R757" s="2509"/>
      <c r="S757" s="2509"/>
      <c r="T757" s="2509"/>
      <c r="U757" s="2509"/>
      <c r="V757" s="2509"/>
      <c r="W757" s="2509"/>
      <c r="X757" s="2509"/>
      <c r="Y757" s="2509"/>
      <c r="Z757" s="2509"/>
      <c r="AA757" s="2509"/>
      <c r="AB757" s="2509"/>
      <c r="AC757" s="535"/>
      <c r="AD757" s="535"/>
      <c r="AE757" s="535"/>
      <c r="AF757" s="2454" t="s">
        <v>1409</v>
      </c>
      <c r="AG757" s="2454"/>
      <c r="AH757" s="2454"/>
      <c r="AI757" s="2454"/>
      <c r="AJ757" s="2454"/>
      <c r="AK757" s="2454"/>
      <c r="AL757" s="2454"/>
      <c r="AM757" s="549"/>
      <c r="AN757" s="533"/>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69" customFormat="1">
      <c r="A758" s="549"/>
      <c r="B758" s="535"/>
      <c r="C758" s="932"/>
      <c r="D758" s="662"/>
      <c r="E758" s="2509"/>
      <c r="F758" s="2509"/>
      <c r="G758" s="2509"/>
      <c r="H758" s="2509"/>
      <c r="I758" s="2509"/>
      <c r="J758" s="2509"/>
      <c r="K758" s="2509"/>
      <c r="L758" s="2509"/>
      <c r="M758" s="2509"/>
      <c r="N758" s="2509"/>
      <c r="O758" s="2509"/>
      <c r="P758" s="2509"/>
      <c r="Q758" s="2509"/>
      <c r="R758" s="2509"/>
      <c r="S758" s="2509"/>
      <c r="T758" s="2509"/>
      <c r="U758" s="2509"/>
      <c r="V758" s="2509"/>
      <c r="W758" s="2509"/>
      <c r="X758" s="2509"/>
      <c r="Y758" s="2509"/>
      <c r="Z758" s="2509"/>
      <c r="AA758" s="2509"/>
      <c r="AB758" s="2509"/>
      <c r="AC758" s="535"/>
      <c r="AD758" s="535"/>
      <c r="AE758" s="535"/>
      <c r="AF758" s="535"/>
      <c r="AG758" s="535"/>
      <c r="AH758" s="535"/>
      <c r="AI758" s="535"/>
      <c r="AJ758" s="535"/>
      <c r="AK758" s="535"/>
      <c r="AL758" s="535"/>
      <c r="AM758" s="549"/>
      <c r="AN758" s="533"/>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69" customFormat="1">
      <c r="A759" s="549"/>
      <c r="B759" s="615"/>
      <c r="C759" s="939"/>
      <c r="D759" s="662"/>
      <c r="E759" s="615"/>
      <c r="F759" s="615"/>
      <c r="G759" s="615"/>
      <c r="H759" s="615"/>
      <c r="I759" s="615"/>
      <c r="J759" s="615"/>
      <c r="K759" s="615"/>
      <c r="L759" s="615"/>
      <c r="M759" s="615"/>
      <c r="N759" s="615"/>
      <c r="O759" s="615"/>
      <c r="P759" s="615"/>
      <c r="Q759" s="615"/>
      <c r="R759" s="615"/>
      <c r="S759" s="615"/>
      <c r="T759" s="615"/>
      <c r="U759" s="615"/>
      <c r="V759" s="615"/>
      <c r="W759" s="615"/>
      <c r="X759" s="615"/>
      <c r="Y759" s="615"/>
      <c r="Z759" s="615"/>
      <c r="AA759" s="615"/>
      <c r="AB759" s="615"/>
      <c r="AC759" s="535"/>
      <c r="AD759" s="535"/>
      <c r="AE759" s="615"/>
      <c r="AF759" s="615"/>
      <c r="AG759" s="615"/>
      <c r="AH759" s="615"/>
      <c r="AI759" s="615"/>
      <c r="AJ759" s="615"/>
      <c r="AK759" s="535"/>
      <c r="AL759" s="535"/>
      <c r="AM759" s="549"/>
      <c r="AN759" s="533"/>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69" customFormat="1">
      <c r="A760" s="636"/>
      <c r="B760" s="535"/>
      <c r="C760" s="930"/>
      <c r="D760" s="662" t="s">
        <v>510</v>
      </c>
      <c r="E760" s="2509" t="s">
        <v>1447</v>
      </c>
      <c r="F760" s="2509"/>
      <c r="G760" s="2509"/>
      <c r="H760" s="2509"/>
      <c r="I760" s="2509"/>
      <c r="J760" s="2509"/>
      <c r="K760" s="2509"/>
      <c r="L760" s="2509"/>
      <c r="M760" s="2509"/>
      <c r="N760" s="2509"/>
      <c r="O760" s="2509"/>
      <c r="P760" s="2509"/>
      <c r="Q760" s="2509"/>
      <c r="R760" s="2509"/>
      <c r="S760" s="2509"/>
      <c r="T760" s="2509"/>
      <c r="U760" s="2509"/>
      <c r="V760" s="2509"/>
      <c r="W760" s="2509"/>
      <c r="X760" s="2509"/>
      <c r="Y760" s="2509"/>
      <c r="Z760" s="2509"/>
      <c r="AA760" s="2509"/>
      <c r="AB760" s="2509"/>
      <c r="AC760" s="535"/>
      <c r="AD760" s="535"/>
      <c r="AE760" s="535"/>
      <c r="AF760" s="2454" t="s">
        <v>1426</v>
      </c>
      <c r="AG760" s="2454"/>
      <c r="AH760" s="2454"/>
      <c r="AI760" s="2454"/>
      <c r="AJ760" s="2454"/>
      <c r="AK760" s="2454"/>
      <c r="AL760" s="2454"/>
      <c r="AM760" s="549"/>
      <c r="AN760" s="533"/>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69" customFormat="1" ht="12.75" customHeight="1">
      <c r="A761" s="636"/>
      <c r="B761" s="535"/>
      <c r="C761" s="930"/>
      <c r="D761" s="662"/>
      <c r="E761" s="2509"/>
      <c r="F761" s="2509"/>
      <c r="G761" s="2509"/>
      <c r="H761" s="2509"/>
      <c r="I761" s="2509"/>
      <c r="J761" s="2509"/>
      <c r="K761" s="2509"/>
      <c r="L761" s="2509"/>
      <c r="M761" s="2509"/>
      <c r="N761" s="2509"/>
      <c r="O761" s="2509"/>
      <c r="P761" s="2509"/>
      <c r="Q761" s="2509"/>
      <c r="R761" s="2509"/>
      <c r="S761" s="2509"/>
      <c r="T761" s="2509"/>
      <c r="U761" s="2509"/>
      <c r="V761" s="2509"/>
      <c r="W761" s="2509"/>
      <c r="X761" s="2509"/>
      <c r="Y761" s="2509"/>
      <c r="Z761" s="2509"/>
      <c r="AA761" s="2509"/>
      <c r="AB761" s="2509"/>
      <c r="AC761" s="535"/>
      <c r="AD761" s="535"/>
      <c r="AE761" s="593"/>
      <c r="AF761" s="535"/>
      <c r="AG761" s="535"/>
      <c r="AH761" s="535"/>
      <c r="AI761" s="535"/>
      <c r="AJ761" s="535"/>
      <c r="AK761" s="535"/>
      <c r="AL761" s="535"/>
      <c r="AM761" s="549"/>
      <c r="AN761" s="533"/>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69" customFormat="1">
      <c r="A762" s="549"/>
      <c r="B762" s="535"/>
      <c r="C762" s="932"/>
      <c r="D762" s="535"/>
      <c r="E762" s="642"/>
      <c r="F762" s="642"/>
      <c r="G762" s="642"/>
      <c r="H762" s="642"/>
      <c r="I762" s="642"/>
      <c r="J762" s="642"/>
      <c r="K762" s="642"/>
      <c r="L762" s="642"/>
      <c r="M762" s="642"/>
      <c r="N762" s="642"/>
      <c r="O762" s="642"/>
      <c r="P762" s="642"/>
      <c r="Q762" s="642"/>
      <c r="R762" s="642"/>
      <c r="S762" s="642"/>
      <c r="T762" s="642"/>
      <c r="U762" s="642"/>
      <c r="V762" s="642"/>
      <c r="W762" s="642"/>
      <c r="X762" s="642"/>
      <c r="Y762" s="642"/>
      <c r="Z762" s="642"/>
      <c r="AA762" s="642"/>
      <c r="AB762" s="642"/>
      <c r="AC762" s="535"/>
      <c r="AD762" s="535"/>
      <c r="AE762" s="615"/>
      <c r="AF762" s="615"/>
      <c r="AG762" s="615"/>
      <c r="AH762" s="615"/>
      <c r="AI762" s="535"/>
      <c r="AJ762" s="535"/>
      <c r="AK762" s="535"/>
      <c r="AL762" s="535"/>
      <c r="AM762" s="549"/>
      <c r="AN762" s="533"/>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69" customFormat="1" ht="12.75" customHeight="1">
      <c r="A763" s="549"/>
      <c r="B763" s="535"/>
      <c r="C763" s="535"/>
      <c r="D763" s="535" t="s">
        <v>1401</v>
      </c>
      <c r="E763" s="935"/>
      <c r="F763" s="935"/>
      <c r="G763" s="935"/>
      <c r="H763" s="2538" t="s">
        <v>688</v>
      </c>
      <c r="I763" s="2538"/>
      <c r="J763" s="642"/>
      <c r="K763" s="642"/>
      <c r="L763" s="642"/>
      <c r="M763" s="642"/>
      <c r="N763" s="642"/>
      <c r="O763" s="642"/>
      <c r="P763" s="642"/>
      <c r="Q763" s="535"/>
      <c r="R763" s="535"/>
      <c r="S763" s="535"/>
      <c r="T763" s="535"/>
      <c r="U763" s="535"/>
      <c r="V763" s="535"/>
      <c r="W763" s="642"/>
      <c r="X763" s="642"/>
      <c r="Y763" s="642"/>
      <c r="Z763" s="642"/>
      <c r="AA763" s="642"/>
      <c r="AB763" s="642"/>
      <c r="AC763" s="535"/>
      <c r="AD763" s="535"/>
      <c r="AE763" s="615"/>
      <c r="AF763" s="615"/>
      <c r="AG763" s="615"/>
      <c r="AH763" s="615"/>
      <c r="AI763" s="535"/>
      <c r="AJ763" s="535"/>
      <c r="AK763" s="535"/>
      <c r="AL763" s="535"/>
      <c r="AM763" s="549"/>
      <c r="AN763" s="533"/>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69" customFormat="1" ht="12.75" customHeight="1">
      <c r="A764" s="549"/>
      <c r="B764" s="615"/>
      <c r="C764" s="939"/>
      <c r="D764" s="615"/>
      <c r="E764" s="615"/>
      <c r="F764" s="615"/>
      <c r="G764" s="615"/>
      <c r="H764" s="615"/>
      <c r="I764" s="615"/>
      <c r="J764" s="615"/>
      <c r="K764" s="615"/>
      <c r="L764" s="615"/>
      <c r="M764" s="615"/>
      <c r="N764" s="615"/>
      <c r="O764" s="615"/>
      <c r="P764" s="615"/>
      <c r="Q764" s="615"/>
      <c r="R764" s="615"/>
      <c r="S764" s="615"/>
      <c r="T764" s="615"/>
      <c r="U764" s="615"/>
      <c r="V764" s="615"/>
      <c r="W764" s="615"/>
      <c r="X764" s="615"/>
      <c r="Y764" s="615"/>
      <c r="Z764" s="615"/>
      <c r="AA764" s="615"/>
      <c r="AB764" s="615"/>
      <c r="AC764" s="615"/>
      <c r="AD764" s="615"/>
      <c r="AE764" s="615"/>
      <c r="AF764" s="615"/>
      <c r="AG764" s="615"/>
      <c r="AH764" s="615"/>
      <c r="AI764" s="535"/>
      <c r="AJ764" s="535"/>
      <c r="AK764" s="535"/>
      <c r="AL764" s="535"/>
      <c r="AM764" s="549"/>
      <c r="AN764" s="533"/>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69" customFormat="1" ht="14.1" customHeight="1">
      <c r="A765" s="605"/>
      <c r="B765" s="664"/>
      <c r="C765" s="954"/>
      <c r="D765" s="664"/>
      <c r="E765" s="664"/>
      <c r="F765" s="664"/>
      <c r="G765" s="664"/>
      <c r="H765" s="664"/>
      <c r="I765" s="664"/>
      <c r="J765" s="664"/>
      <c r="K765" s="664"/>
      <c r="L765" s="664"/>
      <c r="M765" s="664"/>
      <c r="N765" s="664"/>
      <c r="O765" s="664"/>
      <c r="P765" s="664"/>
      <c r="Q765" s="664"/>
      <c r="R765" s="664"/>
      <c r="S765" s="664"/>
      <c r="T765" s="664"/>
      <c r="U765" s="664"/>
      <c r="V765" s="664"/>
      <c r="W765" s="664"/>
      <c r="X765" s="664"/>
      <c r="Y765" s="664"/>
      <c r="Z765" s="664"/>
      <c r="AA765" s="664"/>
      <c r="AB765" s="664"/>
      <c r="AC765" s="664"/>
      <c r="AD765" s="664"/>
      <c r="AE765" s="664"/>
      <c r="AF765" s="664"/>
      <c r="AG765" s="664"/>
      <c r="AH765" s="600"/>
      <c r="AI765" s="564" t="s">
        <v>1448</v>
      </c>
      <c r="AJ765" s="2489">
        <f>VLOOKUP($H$763,$AO$697:$AP$699,2,FALSE)</f>
        <v>2</v>
      </c>
      <c r="AK765" s="2491"/>
      <c r="AL765" s="594"/>
      <c r="AM765" s="549"/>
      <c r="AN765" s="533"/>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69" customFormat="1">
      <c r="A766" s="549"/>
      <c r="B766" s="615"/>
      <c r="C766" s="939"/>
      <c r="D766" s="615"/>
      <c r="E766" s="615"/>
      <c r="F766" s="615"/>
      <c r="G766" s="615"/>
      <c r="H766" s="615"/>
      <c r="I766" s="615"/>
      <c r="J766" s="615"/>
      <c r="K766" s="615"/>
      <c r="L766" s="615"/>
      <c r="M766" s="615"/>
      <c r="N766" s="615"/>
      <c r="O766" s="615"/>
      <c r="P766" s="615"/>
      <c r="Q766" s="615"/>
      <c r="R766" s="615"/>
      <c r="S766" s="615"/>
      <c r="T766" s="615"/>
      <c r="U766" s="615"/>
      <c r="V766" s="615"/>
      <c r="W766" s="615"/>
      <c r="X766" s="615"/>
      <c r="Y766" s="615"/>
      <c r="Z766" s="615"/>
      <c r="AA766" s="615"/>
      <c r="AB766" s="615"/>
      <c r="AC766" s="615"/>
      <c r="AD766" s="615"/>
      <c r="AE766" s="615"/>
      <c r="AF766" s="615"/>
      <c r="AG766" s="615"/>
      <c r="AH766" s="535"/>
      <c r="AI766" s="542"/>
      <c r="AJ766" s="594"/>
      <c r="AK766" s="594"/>
      <c r="AL766" s="594"/>
      <c r="AM766" s="549"/>
      <c r="AN766" s="533"/>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69" customFormat="1">
      <c r="A767" s="549"/>
      <c r="B767" s="615"/>
      <c r="C767" s="538" t="s">
        <v>1437</v>
      </c>
      <c r="D767" s="615"/>
      <c r="E767" s="615"/>
      <c r="F767" s="615"/>
      <c r="G767" s="615"/>
      <c r="H767" s="615"/>
      <c r="I767" s="615"/>
      <c r="J767" s="615"/>
      <c r="K767" s="615"/>
      <c r="L767" s="615"/>
      <c r="M767" s="615"/>
      <c r="N767" s="615"/>
      <c r="O767" s="615"/>
      <c r="P767" s="615"/>
      <c r="Q767" s="615"/>
      <c r="R767" s="615"/>
      <c r="S767" s="615"/>
      <c r="T767" s="615"/>
      <c r="U767" s="615"/>
      <c r="V767" s="615"/>
      <c r="W767" s="615"/>
      <c r="X767" s="615"/>
      <c r="Y767" s="615"/>
      <c r="Z767" s="615"/>
      <c r="AA767" s="615"/>
      <c r="AB767" s="615"/>
      <c r="AC767" s="615"/>
      <c r="AD767" s="615"/>
      <c r="AE767" s="615"/>
      <c r="AF767" s="615"/>
      <c r="AG767" s="615"/>
      <c r="AH767" s="535"/>
      <c r="AI767" s="542"/>
      <c r="AJ767" s="594"/>
      <c r="AK767" s="594"/>
      <c r="AL767" s="594"/>
      <c r="AM767" s="549"/>
      <c r="AN767" s="533"/>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69" customFormat="1">
      <c r="A768" s="549"/>
      <c r="B768" s="615"/>
      <c r="C768" s="939"/>
      <c r="D768" s="615"/>
      <c r="E768" s="615"/>
      <c r="F768" s="615"/>
      <c r="G768" s="615"/>
      <c r="H768" s="615"/>
      <c r="I768" s="615"/>
      <c r="J768" s="615"/>
      <c r="K768" s="615"/>
      <c r="L768" s="615"/>
      <c r="M768" s="615"/>
      <c r="N768" s="615"/>
      <c r="O768" s="615"/>
      <c r="P768" s="615"/>
      <c r="Q768" s="615"/>
      <c r="R768" s="615"/>
      <c r="S768" s="615"/>
      <c r="T768" s="615"/>
      <c r="U768" s="615"/>
      <c r="V768" s="615"/>
      <c r="W768" s="615"/>
      <c r="X768" s="615"/>
      <c r="Y768" s="615"/>
      <c r="Z768" s="615"/>
      <c r="AA768" s="615"/>
      <c r="AB768" s="615"/>
      <c r="AC768" s="615"/>
      <c r="AD768" s="615"/>
      <c r="AE768" s="615"/>
      <c r="AF768" s="615"/>
      <c r="AG768" s="615"/>
      <c r="AH768" s="535"/>
      <c r="AI768" s="542"/>
      <c r="AJ768" s="594"/>
      <c r="AK768" s="594"/>
      <c r="AL768" s="594"/>
      <c r="AM768" s="549"/>
      <c r="AN768" s="683"/>
    </row>
    <row r="769" spans="1:81" s="569" customFormat="1" ht="13.7" customHeight="1">
      <c r="A769" s="549"/>
      <c r="B769" s="615"/>
      <c r="C769" s="939"/>
      <c r="D769" s="662" t="s">
        <v>688</v>
      </c>
      <c r="E769" s="2509" t="s">
        <v>1693</v>
      </c>
      <c r="F769" s="2509"/>
      <c r="G769" s="2509"/>
      <c r="H769" s="2509"/>
      <c r="I769" s="2509"/>
      <c r="J769" s="2509"/>
      <c r="K769" s="2509"/>
      <c r="L769" s="2509"/>
      <c r="M769" s="2509"/>
      <c r="N769" s="2509"/>
      <c r="O769" s="2509"/>
      <c r="P769" s="2509"/>
      <c r="Q769" s="2509"/>
      <c r="R769" s="2509"/>
      <c r="S769" s="2509"/>
      <c r="T769" s="2509"/>
      <c r="U769" s="2509"/>
      <c r="V769" s="2509"/>
      <c r="W769" s="2509"/>
      <c r="X769" s="2509"/>
      <c r="Y769" s="2509"/>
      <c r="Z769" s="2509"/>
      <c r="AA769" s="2509"/>
      <c r="AB769" s="2509"/>
      <c r="AC769" s="2509"/>
      <c r="AD769" s="2509"/>
      <c r="AE769" s="535"/>
      <c r="AF769" s="2454" t="s">
        <v>1409</v>
      </c>
      <c r="AG769" s="2454"/>
      <c r="AH769" s="2454"/>
      <c r="AI769" s="2454"/>
      <c r="AJ769" s="2454"/>
      <c r="AK769" s="2454"/>
      <c r="AL769" s="2454"/>
      <c r="AM769" s="612"/>
      <c r="AN769" s="683"/>
      <c r="AO769" s="549" t="s">
        <v>592</v>
      </c>
      <c r="AP769" s="672">
        <v>0</v>
      </c>
    </row>
    <row r="770" spans="1:81" s="569" customFormat="1" ht="13.7" customHeight="1">
      <c r="A770" s="549"/>
      <c r="B770" s="615"/>
      <c r="C770" s="939"/>
      <c r="D770" s="662"/>
      <c r="E770" s="2509"/>
      <c r="F770" s="2509"/>
      <c r="G770" s="2509"/>
      <c r="H770" s="2509"/>
      <c r="I770" s="2509"/>
      <c r="J770" s="2509"/>
      <c r="K770" s="2509"/>
      <c r="L770" s="2509"/>
      <c r="M770" s="2509"/>
      <c r="N770" s="2509"/>
      <c r="O770" s="2509"/>
      <c r="P770" s="2509"/>
      <c r="Q770" s="2509"/>
      <c r="R770" s="2509"/>
      <c r="S770" s="2509"/>
      <c r="T770" s="2509"/>
      <c r="U770" s="2509"/>
      <c r="V770" s="2509"/>
      <c r="W770" s="2509"/>
      <c r="X770" s="2509"/>
      <c r="Y770" s="2509"/>
      <c r="Z770" s="2509"/>
      <c r="AA770" s="2509"/>
      <c r="AB770" s="2509"/>
      <c r="AC770" s="2509"/>
      <c r="AD770" s="2509"/>
      <c r="AE770" s="535"/>
      <c r="AF770" s="593"/>
      <c r="AG770" s="593"/>
      <c r="AH770" s="593"/>
      <c r="AI770" s="593"/>
      <c r="AJ770" s="593"/>
      <c r="AK770" s="593"/>
      <c r="AL770" s="593"/>
      <c r="AM770" s="612"/>
      <c r="AN770" s="683"/>
      <c r="AO770" s="610" t="s">
        <v>688</v>
      </c>
      <c r="AP770" s="549">
        <v>2</v>
      </c>
    </row>
    <row r="771" spans="1:81" s="569" customFormat="1">
      <c r="A771" s="549"/>
      <c r="B771" s="615"/>
      <c r="C771" s="939"/>
      <c r="D771" s="662"/>
      <c r="E771" s="2509"/>
      <c r="F771" s="2509"/>
      <c r="G771" s="2509"/>
      <c r="H771" s="2509"/>
      <c r="I771" s="2509"/>
      <c r="J771" s="2509"/>
      <c r="K771" s="2509"/>
      <c r="L771" s="2509"/>
      <c r="M771" s="2509"/>
      <c r="N771" s="2509"/>
      <c r="O771" s="2509"/>
      <c r="P771" s="2509"/>
      <c r="Q771" s="2509"/>
      <c r="R771" s="2509"/>
      <c r="S771" s="2509"/>
      <c r="T771" s="2509"/>
      <c r="U771" s="2509"/>
      <c r="V771" s="2509"/>
      <c r="W771" s="2509"/>
      <c r="X771" s="2509"/>
      <c r="Y771" s="2509"/>
      <c r="Z771" s="2509"/>
      <c r="AA771" s="2509"/>
      <c r="AB771" s="2509"/>
      <c r="AC771" s="2509"/>
      <c r="AD771" s="2509"/>
      <c r="AE771" s="535"/>
      <c r="AF771" s="535"/>
      <c r="AG771" s="535"/>
      <c r="AH771" s="535"/>
      <c r="AI771" s="535"/>
      <c r="AJ771" s="535"/>
      <c r="AK771" s="535"/>
      <c r="AL771" s="593"/>
      <c r="AM771" s="612"/>
      <c r="AN771" s="533"/>
      <c r="AO771" s="610" t="s">
        <v>510</v>
      </c>
      <c r="AP771" s="549">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69" customFormat="1" ht="18.600000000000001" customHeight="1">
      <c r="A772" s="549"/>
      <c r="B772" s="615"/>
      <c r="C772" s="939"/>
      <c r="D772" s="662"/>
      <c r="E772" s="2509"/>
      <c r="F772" s="2509"/>
      <c r="G772" s="2509"/>
      <c r="H772" s="2509"/>
      <c r="I772" s="2509"/>
      <c r="J772" s="2509"/>
      <c r="K772" s="2509"/>
      <c r="L772" s="2509"/>
      <c r="M772" s="2509"/>
      <c r="N772" s="2509"/>
      <c r="O772" s="2509"/>
      <c r="P772" s="2509"/>
      <c r="Q772" s="2509"/>
      <c r="R772" s="2509"/>
      <c r="S772" s="2509"/>
      <c r="T772" s="2509"/>
      <c r="U772" s="2509"/>
      <c r="V772" s="2509"/>
      <c r="W772" s="2509"/>
      <c r="X772" s="2509"/>
      <c r="Y772" s="2509"/>
      <c r="Z772" s="2509"/>
      <c r="AA772" s="2509"/>
      <c r="AB772" s="2509"/>
      <c r="AC772" s="2509"/>
      <c r="AD772" s="2509"/>
      <c r="AE772" s="593"/>
      <c r="AF772" s="593"/>
      <c r="AG772" s="593"/>
      <c r="AH772" s="593"/>
      <c r="AI772" s="593"/>
      <c r="AJ772" s="593"/>
      <c r="AK772" s="593"/>
      <c r="AL772" s="593"/>
      <c r="AM772" s="612"/>
      <c r="AN772" s="533"/>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49" customFormat="1" ht="12.75" customHeight="1">
      <c r="B773" s="615"/>
      <c r="C773" s="939"/>
      <c r="D773" s="662"/>
      <c r="E773" s="907"/>
      <c r="F773" s="907"/>
      <c r="G773" s="907"/>
      <c r="H773" s="907"/>
      <c r="I773" s="907"/>
      <c r="J773" s="907"/>
      <c r="K773" s="907"/>
      <c r="L773" s="907"/>
      <c r="M773" s="907"/>
      <c r="N773" s="907"/>
      <c r="O773" s="907"/>
      <c r="P773" s="907"/>
      <c r="Q773" s="907"/>
      <c r="R773" s="907"/>
      <c r="S773" s="907"/>
      <c r="T773" s="907"/>
      <c r="U773" s="907"/>
      <c r="V773" s="907"/>
      <c r="W773" s="907"/>
      <c r="X773" s="907"/>
      <c r="Y773" s="907"/>
      <c r="Z773" s="907"/>
      <c r="AA773" s="907"/>
      <c r="AB773" s="907"/>
      <c r="AC773" s="907"/>
      <c r="AD773" s="907"/>
      <c r="AE773" s="593"/>
      <c r="AF773" s="535"/>
      <c r="AG773" s="535"/>
      <c r="AH773" s="535"/>
      <c r="AI773" s="535"/>
      <c r="AJ773" s="535"/>
      <c r="AK773" s="535"/>
      <c r="AL773" s="535"/>
      <c r="AM773" s="612"/>
      <c r="AN773" s="596"/>
    </row>
    <row r="774" spans="1:81" s="549" customFormat="1" ht="12.75" customHeight="1">
      <c r="B774" s="615"/>
      <c r="C774" s="939"/>
      <c r="D774" s="662" t="s">
        <v>510</v>
      </c>
      <c r="E774" s="2548" t="s">
        <v>1698</v>
      </c>
      <c r="F774" s="2548"/>
      <c r="G774" s="2548"/>
      <c r="H774" s="2548"/>
      <c r="I774" s="2548"/>
      <c r="J774" s="2548"/>
      <c r="K774" s="2548"/>
      <c r="L774" s="2548"/>
      <c r="M774" s="2548"/>
      <c r="N774" s="2548"/>
      <c r="O774" s="2548"/>
      <c r="P774" s="2548"/>
      <c r="Q774" s="2548"/>
      <c r="R774" s="2548"/>
      <c r="S774" s="2548"/>
      <c r="T774" s="2548"/>
      <c r="U774" s="2548"/>
      <c r="V774" s="2548"/>
      <c r="W774" s="2548"/>
      <c r="X774" s="2548"/>
      <c r="Y774" s="2548"/>
      <c r="Z774" s="2548"/>
      <c r="AA774" s="2548"/>
      <c r="AB774" s="2548"/>
      <c r="AC774" s="2548"/>
      <c r="AD774" s="2548"/>
      <c r="AE774" s="535"/>
      <c r="AF774" s="2454" t="s">
        <v>1353</v>
      </c>
      <c r="AG774" s="2454"/>
      <c r="AH774" s="2454"/>
      <c r="AI774" s="2454"/>
      <c r="AJ774" s="2454"/>
      <c r="AK774" s="2454"/>
      <c r="AL774" s="2454"/>
      <c r="AM774" s="612"/>
      <c r="AN774" s="596"/>
    </row>
    <row r="775" spans="1:81" s="549" customFormat="1" ht="12.75" customHeight="1">
      <c r="B775" s="615"/>
      <c r="C775" s="939"/>
      <c r="D775" s="662"/>
      <c r="E775" s="2548"/>
      <c r="F775" s="2548"/>
      <c r="G775" s="2548"/>
      <c r="H775" s="2548"/>
      <c r="I775" s="2548"/>
      <c r="J775" s="2548"/>
      <c r="K775" s="2548"/>
      <c r="L775" s="2548"/>
      <c r="M775" s="2548"/>
      <c r="N775" s="2548"/>
      <c r="O775" s="2548"/>
      <c r="P775" s="2548"/>
      <c r="Q775" s="2548"/>
      <c r="R775" s="2548"/>
      <c r="S775" s="2548"/>
      <c r="T775" s="2548"/>
      <c r="U775" s="2548"/>
      <c r="V775" s="2548"/>
      <c r="W775" s="2548"/>
      <c r="X775" s="2548"/>
      <c r="Y775" s="2548"/>
      <c r="Z775" s="2548"/>
      <c r="AA775" s="2548"/>
      <c r="AB775" s="2548"/>
      <c r="AC775" s="2548"/>
      <c r="AD775" s="2548"/>
      <c r="AE775" s="593"/>
      <c r="AF775" s="593"/>
      <c r="AG775" s="593"/>
      <c r="AH775" s="593"/>
      <c r="AI775" s="593"/>
      <c r="AJ775" s="593"/>
      <c r="AK775" s="593"/>
      <c r="AL775" s="593"/>
      <c r="AM775" s="612"/>
      <c r="AN775" s="596"/>
    </row>
    <row r="776" spans="1:81" s="549" customFormat="1" ht="12.75" customHeight="1">
      <c r="B776" s="615"/>
      <c r="C776" s="939"/>
      <c r="D776" s="662"/>
      <c r="E776" s="2548"/>
      <c r="F776" s="2548"/>
      <c r="G776" s="2548"/>
      <c r="H776" s="2548"/>
      <c r="I776" s="2548"/>
      <c r="J776" s="2548"/>
      <c r="K776" s="2548"/>
      <c r="L776" s="2548"/>
      <c r="M776" s="2548"/>
      <c r="N776" s="2548"/>
      <c r="O776" s="2548"/>
      <c r="P776" s="2548"/>
      <c r="Q776" s="2548"/>
      <c r="R776" s="2548"/>
      <c r="S776" s="2548"/>
      <c r="T776" s="2548"/>
      <c r="U776" s="2548"/>
      <c r="V776" s="2548"/>
      <c r="W776" s="2548"/>
      <c r="X776" s="2548"/>
      <c r="Y776" s="2548"/>
      <c r="Z776" s="2548"/>
      <c r="AA776" s="2548"/>
      <c r="AB776" s="2548"/>
      <c r="AC776" s="2548"/>
      <c r="AD776" s="2548"/>
      <c r="AE776" s="593"/>
      <c r="AF776" s="593"/>
      <c r="AG776" s="593"/>
      <c r="AH776" s="593"/>
      <c r="AI776" s="593"/>
      <c r="AJ776" s="593"/>
      <c r="AK776" s="593"/>
      <c r="AL776" s="593"/>
      <c r="AM776" s="612"/>
      <c r="AN776" s="596"/>
    </row>
    <row r="777" spans="1:81" s="549" customFormat="1" ht="12.75" customHeight="1">
      <c r="B777" s="615"/>
      <c r="C777" s="939"/>
      <c r="D777" s="662"/>
      <c r="E777" s="2548"/>
      <c r="F777" s="2548"/>
      <c r="G777" s="2548"/>
      <c r="H777" s="2548"/>
      <c r="I777" s="2548"/>
      <c r="J777" s="2548"/>
      <c r="K777" s="2548"/>
      <c r="L777" s="2548"/>
      <c r="M777" s="2548"/>
      <c r="N777" s="2548"/>
      <c r="O777" s="2548"/>
      <c r="P777" s="2548"/>
      <c r="Q777" s="2548"/>
      <c r="R777" s="2548"/>
      <c r="S777" s="2548"/>
      <c r="T777" s="2548"/>
      <c r="U777" s="2548"/>
      <c r="V777" s="2548"/>
      <c r="W777" s="2548"/>
      <c r="X777" s="2548"/>
      <c r="Y777" s="2548"/>
      <c r="Z777" s="2548"/>
      <c r="AA777" s="2548"/>
      <c r="AB777" s="2548"/>
      <c r="AC777" s="2548"/>
      <c r="AD777" s="2548"/>
      <c r="AE777" s="593"/>
      <c r="AF777" s="593"/>
      <c r="AG777" s="593"/>
      <c r="AH777" s="593"/>
      <c r="AI777" s="593"/>
      <c r="AJ777" s="593"/>
      <c r="AK777" s="593"/>
      <c r="AL777" s="593"/>
      <c r="AM777" s="612"/>
      <c r="AN777" s="596"/>
    </row>
    <row r="778" spans="1:81" s="549" customFormat="1" ht="12.75" customHeight="1">
      <c r="A778" s="569"/>
      <c r="B778" s="535"/>
      <c r="C778" s="535"/>
      <c r="D778" s="535"/>
      <c r="E778" s="535"/>
      <c r="F778" s="535"/>
      <c r="G778" s="535"/>
      <c r="H778" s="535"/>
      <c r="I778" s="535"/>
      <c r="J778" s="535"/>
      <c r="K778" s="535"/>
      <c r="L778" s="535"/>
      <c r="M778" s="535"/>
      <c r="N778" s="535"/>
      <c r="O778" s="535"/>
      <c r="P778" s="535"/>
      <c r="Q778" s="535"/>
      <c r="R778" s="535"/>
      <c r="S778" s="535"/>
      <c r="T778" s="535"/>
      <c r="U778" s="535"/>
      <c r="V778" s="535"/>
      <c r="W778" s="535"/>
      <c r="X778" s="535"/>
      <c r="Y778" s="535"/>
      <c r="Z778" s="535"/>
      <c r="AA778" s="535"/>
      <c r="AB778" s="535"/>
      <c r="AC778" s="535"/>
      <c r="AD778" s="535"/>
      <c r="AE778" s="535"/>
      <c r="AF778" s="535"/>
      <c r="AG778" s="535"/>
      <c r="AH778" s="535"/>
      <c r="AI778" s="535"/>
      <c r="AJ778" s="535"/>
      <c r="AK778" s="535"/>
      <c r="AL778" s="535"/>
      <c r="AM778" s="569"/>
      <c r="AN778" s="596"/>
    </row>
    <row r="779" spans="1:81" s="549" customFormat="1" ht="12.75" customHeight="1">
      <c r="B779" s="615"/>
      <c r="C779" s="939"/>
      <c r="D779" s="535" t="s">
        <v>1401</v>
      </c>
      <c r="E779" s="935"/>
      <c r="F779" s="935"/>
      <c r="G779" s="935"/>
      <c r="H779" s="2538" t="s">
        <v>592</v>
      </c>
      <c r="I779" s="2538"/>
      <c r="J779" s="642"/>
      <c r="K779" s="642"/>
      <c r="L779" s="642"/>
      <c r="M779" s="642"/>
      <c r="N779" s="642"/>
      <c r="O779" s="642"/>
      <c r="P779" s="642"/>
      <c r="Q779" s="642"/>
      <c r="R779" s="642"/>
      <c r="S779" s="642"/>
      <c r="T779" s="642"/>
      <c r="U779" s="642"/>
      <c r="V779" s="642"/>
      <c r="W779" s="642"/>
      <c r="X779" s="642"/>
      <c r="Y779" s="642"/>
      <c r="Z779" s="642"/>
      <c r="AA779" s="642"/>
      <c r="AB779" s="642"/>
      <c r="AC779" s="642"/>
      <c r="AD779" s="642"/>
      <c r="AE779" s="642"/>
      <c r="AF779" s="642"/>
      <c r="AG779" s="615"/>
      <c r="AH779" s="535"/>
      <c r="AI779" s="542"/>
      <c r="AJ779" s="594"/>
      <c r="AK779" s="594"/>
      <c r="AL779" s="594"/>
      <c r="AN779" s="596"/>
    </row>
    <row r="780" spans="1:81" s="549" customFormat="1" ht="12.75" customHeight="1">
      <c r="B780" s="615"/>
      <c r="C780" s="939"/>
      <c r="D780" s="615"/>
      <c r="E780" s="615"/>
      <c r="F780" s="615"/>
      <c r="G780" s="615"/>
      <c r="H780" s="615"/>
      <c r="I780" s="615"/>
      <c r="J780" s="615"/>
      <c r="K780" s="615"/>
      <c r="L780" s="615"/>
      <c r="M780" s="615"/>
      <c r="N780" s="615"/>
      <c r="O780" s="615"/>
      <c r="P780" s="615"/>
      <c r="Q780" s="615"/>
      <c r="R780" s="615"/>
      <c r="S780" s="615"/>
      <c r="T780" s="615"/>
      <c r="U780" s="615"/>
      <c r="V780" s="615"/>
      <c r="W780" s="615"/>
      <c r="X780" s="615"/>
      <c r="Y780" s="615"/>
      <c r="Z780" s="615"/>
      <c r="AA780" s="615"/>
      <c r="AB780" s="615"/>
      <c r="AC780" s="615"/>
      <c r="AD780" s="615"/>
      <c r="AE780" s="615"/>
      <c r="AF780" s="615"/>
      <c r="AG780" s="615"/>
      <c r="AH780" s="535"/>
      <c r="AI780" s="542"/>
      <c r="AJ780" s="594"/>
      <c r="AK780" s="594"/>
      <c r="AL780" s="594"/>
      <c r="AN780" s="596"/>
    </row>
    <row r="781" spans="1:81" s="549" customFormat="1" ht="12.75" customHeight="1">
      <c r="A781" s="605"/>
      <c r="B781" s="664"/>
      <c r="C781" s="954"/>
      <c r="D781" s="664"/>
      <c r="E781" s="664"/>
      <c r="F781" s="664"/>
      <c r="G781" s="664"/>
      <c r="H781" s="664"/>
      <c r="I781" s="664"/>
      <c r="J781" s="664"/>
      <c r="K781" s="664"/>
      <c r="L781" s="664"/>
      <c r="M781" s="664"/>
      <c r="N781" s="664"/>
      <c r="O781" s="664"/>
      <c r="P781" s="664"/>
      <c r="Q781" s="664"/>
      <c r="R781" s="664"/>
      <c r="S781" s="664"/>
      <c r="T781" s="664"/>
      <c r="U781" s="664"/>
      <c r="V781" s="664"/>
      <c r="W781" s="664"/>
      <c r="X781" s="664"/>
      <c r="Y781" s="664"/>
      <c r="Z781" s="664"/>
      <c r="AA781" s="664"/>
      <c r="AB781" s="664"/>
      <c r="AC781" s="664"/>
      <c r="AD781" s="664"/>
      <c r="AE781" s="664"/>
      <c r="AF781" s="664"/>
      <c r="AG781" s="664"/>
      <c r="AH781" s="600"/>
      <c r="AI781" s="564" t="s">
        <v>1449</v>
      </c>
      <c r="AJ781" s="2489">
        <f>VLOOKUP($H$779,$AO$769:$AP$771,2,FALSE)</f>
        <v>0</v>
      </c>
      <c r="AK781" s="2491"/>
      <c r="AL781" s="594"/>
      <c r="AN781" s="596"/>
    </row>
    <row r="782" spans="1:81" s="569" customFormat="1">
      <c r="A782" s="549"/>
      <c r="B782" s="615"/>
      <c r="C782" s="939"/>
      <c r="D782" s="615"/>
      <c r="E782" s="615"/>
      <c r="F782" s="615"/>
      <c r="G782" s="615"/>
      <c r="H782" s="615"/>
      <c r="I782" s="615"/>
      <c r="J782" s="615"/>
      <c r="K782" s="615"/>
      <c r="L782" s="615"/>
      <c r="M782" s="615"/>
      <c r="N782" s="615"/>
      <c r="O782" s="615"/>
      <c r="P782" s="615"/>
      <c r="Q782" s="615"/>
      <c r="R782" s="615"/>
      <c r="S782" s="615"/>
      <c r="T782" s="615"/>
      <c r="U782" s="615"/>
      <c r="V782" s="615"/>
      <c r="W782" s="615"/>
      <c r="X782" s="615"/>
      <c r="Y782" s="615"/>
      <c r="Z782" s="615"/>
      <c r="AA782" s="615"/>
      <c r="AB782" s="615"/>
      <c r="AC782" s="615"/>
      <c r="AD782" s="615"/>
      <c r="AE782" s="615"/>
      <c r="AF782" s="615"/>
      <c r="AG782" s="615"/>
      <c r="AH782" s="535"/>
      <c r="AI782" s="542"/>
      <c r="AJ782" s="594"/>
      <c r="AK782" s="594"/>
      <c r="AL782" s="594"/>
      <c r="AM782" s="549"/>
      <c r="AN782" s="683"/>
      <c r="AS782" s="673"/>
      <c r="AT782" s="673"/>
      <c r="AU782" s="673"/>
      <c r="AV782" s="673"/>
      <c r="AW782" s="673"/>
      <c r="AX782" s="673"/>
      <c r="AY782" s="673"/>
      <c r="AZ782" s="673"/>
      <c r="BA782" s="673"/>
      <c r="BB782" s="673"/>
      <c r="BC782" s="673"/>
      <c r="BD782" s="689"/>
      <c r="BE782" s="689"/>
      <c r="BF782" s="689"/>
      <c r="BG782" s="689"/>
      <c r="BH782" s="689"/>
      <c r="BI782" s="673"/>
      <c r="BJ782" s="673"/>
      <c r="BK782" s="673"/>
      <c r="BL782" s="673"/>
      <c r="BM782" s="673"/>
      <c r="BN782" s="673"/>
      <c r="BO782" s="673"/>
      <c r="BP782" s="673"/>
      <c r="BQ782" s="673"/>
      <c r="BR782" s="673"/>
      <c r="BS782" s="673"/>
      <c r="BT782" s="673"/>
      <c r="BU782" s="673"/>
      <c r="BV782" s="673"/>
      <c r="BW782" s="673"/>
      <c r="BX782" s="673"/>
      <c r="BY782" s="673"/>
      <c r="BZ782" s="673"/>
      <c r="CA782" s="673"/>
      <c r="CB782" s="673"/>
      <c r="CC782" s="673"/>
    </row>
    <row r="783" spans="1:81" s="569" customFormat="1">
      <c r="A783" s="549"/>
      <c r="B783" s="615"/>
      <c r="C783" s="538" t="s">
        <v>1450</v>
      </c>
      <c r="D783" s="615"/>
      <c r="E783" s="615"/>
      <c r="F783" s="615"/>
      <c r="G783" s="615"/>
      <c r="H783" s="615"/>
      <c r="I783" s="615"/>
      <c r="J783" s="615"/>
      <c r="K783" s="615"/>
      <c r="L783" s="615"/>
      <c r="M783" s="615"/>
      <c r="N783" s="615"/>
      <c r="O783" s="615"/>
      <c r="P783" s="615"/>
      <c r="Q783" s="615"/>
      <c r="R783" s="615"/>
      <c r="S783" s="615"/>
      <c r="T783" s="615"/>
      <c r="U783" s="615"/>
      <c r="V783" s="615"/>
      <c r="W783" s="615"/>
      <c r="X783" s="615"/>
      <c r="Y783" s="615"/>
      <c r="Z783" s="615"/>
      <c r="AA783" s="615"/>
      <c r="AB783" s="615"/>
      <c r="AC783" s="615"/>
      <c r="AD783" s="615"/>
      <c r="AE783" s="615"/>
      <c r="AF783" s="615"/>
      <c r="AG783" s="615"/>
      <c r="AH783" s="535"/>
      <c r="AI783" s="542"/>
      <c r="AJ783" s="594"/>
      <c r="AK783" s="594"/>
      <c r="AL783" s="594"/>
      <c r="AM783" s="549"/>
      <c r="AN783" s="683"/>
      <c r="AT783" s="673"/>
      <c r="AU783" s="673"/>
      <c r="AV783" s="673"/>
      <c r="AW783" s="673"/>
      <c r="AX783" s="673"/>
      <c r="AY783" s="673"/>
      <c r="AZ783" s="673"/>
    </row>
    <row r="784" spans="1:81" s="569" customFormat="1">
      <c r="A784" s="549"/>
      <c r="B784" s="615"/>
      <c r="C784" s="939"/>
      <c r="D784" s="615"/>
      <c r="E784" s="615"/>
      <c r="F784" s="615"/>
      <c r="G784" s="615"/>
      <c r="H784" s="615"/>
      <c r="I784" s="615"/>
      <c r="J784" s="615"/>
      <c r="K784" s="615"/>
      <c r="L784" s="615"/>
      <c r="M784" s="615"/>
      <c r="N784" s="615"/>
      <c r="O784" s="615"/>
      <c r="P784" s="615"/>
      <c r="Q784" s="615"/>
      <c r="R784" s="615"/>
      <c r="S784" s="615"/>
      <c r="T784" s="615"/>
      <c r="U784" s="615"/>
      <c r="V784" s="615"/>
      <c r="W784" s="615"/>
      <c r="X784" s="615"/>
      <c r="Y784" s="615"/>
      <c r="Z784" s="615"/>
      <c r="AA784" s="615"/>
      <c r="AB784" s="615"/>
      <c r="AC784" s="615"/>
      <c r="AD784" s="615"/>
      <c r="AE784" s="535"/>
      <c r="AF784" s="535"/>
      <c r="AG784" s="535"/>
      <c r="AH784" s="535"/>
      <c r="AI784" s="535"/>
      <c r="AJ784" s="535"/>
      <c r="AK784" s="535"/>
      <c r="AL784" s="594"/>
      <c r="AM784" s="549"/>
      <c r="AN784" s="683"/>
      <c r="AO784" s="549" t="s">
        <v>592</v>
      </c>
      <c r="AP784" s="679">
        <v>0</v>
      </c>
      <c r="AS784" s="673"/>
      <c r="AT784" s="673"/>
      <c r="AU784" s="673"/>
      <c r="AV784" s="673"/>
      <c r="AW784" s="673"/>
      <c r="AX784" s="673"/>
      <c r="AY784" s="673"/>
      <c r="AZ784" s="673"/>
      <c r="BA784" s="673"/>
      <c r="BB784" s="673"/>
      <c r="BC784" s="673"/>
      <c r="BD784" s="689"/>
      <c r="BE784" s="689"/>
      <c r="BF784" s="689"/>
      <c r="BG784" s="689"/>
      <c r="BH784" s="689"/>
      <c r="BI784" s="673"/>
      <c r="BJ784" s="673"/>
      <c r="BK784" s="673"/>
      <c r="BL784" s="673"/>
      <c r="BM784" s="673"/>
      <c r="BN784" s="673"/>
      <c r="BO784" s="673"/>
      <c r="BP784" s="673"/>
      <c r="BQ784" s="673"/>
      <c r="BR784" s="673"/>
      <c r="BS784" s="673"/>
      <c r="BT784" s="673"/>
      <c r="BU784" s="673"/>
      <c r="BV784" s="673"/>
      <c r="BW784" s="673"/>
      <c r="BX784" s="673"/>
      <c r="BY784" s="673"/>
      <c r="BZ784" s="673"/>
      <c r="CA784" s="673"/>
      <c r="CB784" s="673"/>
      <c r="CC784" s="673"/>
    </row>
    <row r="785" spans="1:81" s="569" customFormat="1" ht="13.7" customHeight="1">
      <c r="A785" s="549"/>
      <c r="B785" s="615"/>
      <c r="C785" s="939"/>
      <c r="D785" s="662" t="s">
        <v>688</v>
      </c>
      <c r="E785" s="2509" t="s">
        <v>2034</v>
      </c>
      <c r="F785" s="2509"/>
      <c r="G785" s="2509"/>
      <c r="H785" s="2509"/>
      <c r="I785" s="2509"/>
      <c r="J785" s="2509"/>
      <c r="K785" s="2509"/>
      <c r="L785" s="2509"/>
      <c r="M785" s="2509"/>
      <c r="N785" s="2509"/>
      <c r="O785" s="2509"/>
      <c r="P785" s="2509"/>
      <c r="Q785" s="2509"/>
      <c r="R785" s="2509"/>
      <c r="S785" s="2509"/>
      <c r="T785" s="2509"/>
      <c r="U785" s="2509"/>
      <c r="V785" s="2509"/>
      <c r="W785" s="2509"/>
      <c r="X785" s="2509"/>
      <c r="Y785" s="2509"/>
      <c r="Z785" s="2509"/>
      <c r="AA785" s="2509"/>
      <c r="AB785" s="2509"/>
      <c r="AC785" s="2509"/>
      <c r="AD785" s="2509"/>
      <c r="AE785" s="535"/>
      <c r="AF785" s="2454" t="s">
        <v>1353</v>
      </c>
      <c r="AG785" s="2454"/>
      <c r="AH785" s="2454"/>
      <c r="AI785" s="2454"/>
      <c r="AJ785" s="2454"/>
      <c r="AK785" s="2454"/>
      <c r="AL785" s="2454"/>
      <c r="AM785" s="612"/>
      <c r="AN785" s="683"/>
      <c r="AO785" s="610" t="s">
        <v>546</v>
      </c>
      <c r="AP785" s="549">
        <v>3</v>
      </c>
      <c r="AT785" s="673"/>
      <c r="AU785" s="673"/>
      <c r="AV785" s="673"/>
      <c r="AW785" s="673"/>
      <c r="AX785" s="673"/>
      <c r="AY785" s="673"/>
      <c r="AZ785" s="673"/>
    </row>
    <row r="786" spans="1:81" s="569" customFormat="1" ht="13.7" customHeight="1">
      <c r="A786" s="549"/>
      <c r="B786" s="615"/>
      <c r="C786" s="939"/>
      <c r="D786" s="662"/>
      <c r="E786" s="2509"/>
      <c r="F786" s="2509"/>
      <c r="G786" s="2509"/>
      <c r="H786" s="2509"/>
      <c r="I786" s="2509"/>
      <c r="J786" s="2509"/>
      <c r="K786" s="2509"/>
      <c r="L786" s="2509"/>
      <c r="M786" s="2509"/>
      <c r="N786" s="2509"/>
      <c r="O786" s="2509"/>
      <c r="P786" s="2509"/>
      <c r="Q786" s="2509"/>
      <c r="R786" s="2509"/>
      <c r="S786" s="2509"/>
      <c r="T786" s="2509"/>
      <c r="U786" s="2509"/>
      <c r="V786" s="2509"/>
      <c r="W786" s="2509"/>
      <c r="X786" s="2509"/>
      <c r="Y786" s="2509"/>
      <c r="Z786" s="2509"/>
      <c r="AA786" s="2509"/>
      <c r="AB786" s="2509"/>
      <c r="AC786" s="2509"/>
      <c r="AD786" s="2509"/>
      <c r="AE786" s="535"/>
      <c r="AF786" s="593"/>
      <c r="AG786" s="593"/>
      <c r="AH786" s="593"/>
      <c r="AI786" s="593"/>
      <c r="AJ786" s="593"/>
      <c r="AK786" s="593"/>
      <c r="AL786" s="593"/>
      <c r="AM786" s="612"/>
      <c r="AN786" s="683"/>
      <c r="AO786" s="610"/>
      <c r="AP786" s="549"/>
      <c r="AT786" s="673"/>
      <c r="AU786" s="673"/>
      <c r="AV786" s="673"/>
      <c r="AW786" s="673"/>
      <c r="AX786" s="673"/>
      <c r="AY786" s="673"/>
      <c r="AZ786" s="673"/>
    </row>
    <row r="787" spans="1:81" s="569" customFormat="1">
      <c r="A787" s="549"/>
      <c r="B787" s="615"/>
      <c r="C787" s="939"/>
      <c r="D787" s="662"/>
      <c r="E787" s="2509"/>
      <c r="F787" s="2509"/>
      <c r="G787" s="2509"/>
      <c r="H787" s="2509"/>
      <c r="I787" s="2509"/>
      <c r="J787" s="2509"/>
      <c r="K787" s="2509"/>
      <c r="L787" s="2509"/>
      <c r="M787" s="2509"/>
      <c r="N787" s="2509"/>
      <c r="O787" s="2509"/>
      <c r="P787" s="2509"/>
      <c r="Q787" s="2509"/>
      <c r="R787" s="2509"/>
      <c r="S787" s="2509"/>
      <c r="T787" s="2509"/>
      <c r="U787" s="2509"/>
      <c r="V787" s="2509"/>
      <c r="W787" s="2509"/>
      <c r="X787" s="2509"/>
      <c r="Y787" s="2509"/>
      <c r="Z787" s="2509"/>
      <c r="AA787" s="2509"/>
      <c r="AB787" s="2509"/>
      <c r="AC787" s="2509"/>
      <c r="AD787" s="2509"/>
      <c r="AE787" s="593"/>
      <c r="AF787" s="593"/>
      <c r="AG787" s="593"/>
      <c r="AH787" s="593"/>
      <c r="AI787" s="593"/>
      <c r="AJ787" s="593"/>
      <c r="AK787" s="593"/>
      <c r="AL787" s="593"/>
      <c r="AM787" s="612"/>
      <c r="AN787" s="683"/>
      <c r="AO787" s="610"/>
      <c r="AP787" s="549"/>
      <c r="AT787" s="673"/>
      <c r="AU787" s="673"/>
      <c r="AV787" s="673"/>
      <c r="AW787" s="673"/>
      <c r="AX787" s="673"/>
      <c r="AY787" s="673"/>
      <c r="AZ787" s="673"/>
    </row>
    <row r="788" spans="1:81" s="569" customFormat="1">
      <c r="A788" s="549"/>
      <c r="B788" s="615"/>
      <c r="C788" s="939"/>
      <c r="D788" s="662"/>
      <c r="E788" s="2509"/>
      <c r="F788" s="2509"/>
      <c r="G788" s="2509"/>
      <c r="H788" s="2509"/>
      <c r="I788" s="2509"/>
      <c r="J788" s="2509"/>
      <c r="K788" s="2509"/>
      <c r="L788" s="2509"/>
      <c r="M788" s="2509"/>
      <c r="N788" s="2509"/>
      <c r="O788" s="2509"/>
      <c r="P788" s="2509"/>
      <c r="Q788" s="2509"/>
      <c r="R788" s="2509"/>
      <c r="S788" s="2509"/>
      <c r="T788" s="2509"/>
      <c r="U788" s="2509"/>
      <c r="V788" s="2509"/>
      <c r="W788" s="2509"/>
      <c r="X788" s="2509"/>
      <c r="Y788" s="2509"/>
      <c r="Z788" s="2509"/>
      <c r="AA788" s="2509"/>
      <c r="AB788" s="2509"/>
      <c r="AC788" s="2509"/>
      <c r="AD788" s="2509"/>
      <c r="AE788" s="593"/>
      <c r="AF788" s="593"/>
      <c r="AG788" s="593"/>
      <c r="AH788" s="593"/>
      <c r="AI788" s="593"/>
      <c r="AJ788" s="593"/>
      <c r="AK788" s="593"/>
      <c r="AL788" s="593"/>
      <c r="AM788" s="612"/>
      <c r="AN788" s="683"/>
      <c r="AO788" s="690"/>
      <c r="AT788" s="673"/>
      <c r="AU788" s="673"/>
      <c r="AV788" s="673"/>
      <c r="AW788" s="673"/>
      <c r="AX788" s="673"/>
      <c r="AY788" s="673"/>
      <c r="AZ788" s="673"/>
    </row>
    <row r="789" spans="1:81" s="569" customFormat="1">
      <c r="A789" s="549"/>
      <c r="B789" s="615"/>
      <c r="C789" s="939"/>
      <c r="D789" s="662"/>
      <c r="E789" s="642"/>
      <c r="F789" s="642"/>
      <c r="G789" s="642"/>
      <c r="H789" s="642"/>
      <c r="I789" s="642"/>
      <c r="J789" s="642"/>
      <c r="K789" s="642"/>
      <c r="L789" s="642"/>
      <c r="M789" s="642"/>
      <c r="N789" s="642"/>
      <c r="O789" s="642"/>
      <c r="P789" s="642"/>
      <c r="Q789" s="642"/>
      <c r="R789" s="642"/>
      <c r="S789" s="642"/>
      <c r="T789" s="642"/>
      <c r="U789" s="642"/>
      <c r="V789" s="642"/>
      <c r="W789" s="642"/>
      <c r="X789" s="642"/>
      <c r="Y789" s="642"/>
      <c r="Z789" s="642"/>
      <c r="AA789" s="642"/>
      <c r="AB789" s="642"/>
      <c r="AC789" s="642"/>
      <c r="AD789" s="642"/>
      <c r="AE789" s="593"/>
      <c r="AF789" s="593"/>
      <c r="AG789" s="593"/>
      <c r="AH789" s="593"/>
      <c r="AI789" s="593"/>
      <c r="AJ789" s="593"/>
      <c r="AK789" s="593"/>
      <c r="AL789" s="593"/>
      <c r="AM789" s="612"/>
      <c r="AN789" s="683"/>
      <c r="AO789" s="690"/>
      <c r="AT789" s="673"/>
      <c r="AU789" s="673"/>
      <c r="AV789" s="673"/>
      <c r="AW789" s="673"/>
      <c r="AX789" s="673"/>
      <c r="AY789" s="673"/>
      <c r="AZ789" s="673"/>
    </row>
    <row r="790" spans="1:81" s="569" customFormat="1">
      <c r="A790" s="549"/>
      <c r="B790" s="615"/>
      <c r="C790" s="939"/>
      <c r="D790" s="535" t="s">
        <v>1401</v>
      </c>
      <c r="E790" s="935"/>
      <c r="F790" s="935"/>
      <c r="G790" s="935"/>
      <c r="H790" s="2538" t="s">
        <v>592</v>
      </c>
      <c r="I790" s="2538"/>
      <c r="J790" s="615"/>
      <c r="K790" s="615"/>
      <c r="L790" s="615"/>
      <c r="M790" s="615"/>
      <c r="N790" s="615"/>
      <c r="O790" s="615"/>
      <c r="P790" s="615"/>
      <c r="Q790" s="615"/>
      <c r="R790" s="615"/>
      <c r="S790" s="615"/>
      <c r="T790" s="615"/>
      <c r="U790" s="615"/>
      <c r="V790" s="615"/>
      <c r="W790" s="615"/>
      <c r="X790" s="615"/>
      <c r="Y790" s="615"/>
      <c r="Z790" s="615"/>
      <c r="AA790" s="615"/>
      <c r="AB790" s="615"/>
      <c r="AC790" s="615"/>
      <c r="AD790" s="615"/>
      <c r="AE790" s="615"/>
      <c r="AF790" s="615"/>
      <c r="AG790" s="615"/>
      <c r="AH790" s="535"/>
      <c r="AI790" s="542"/>
      <c r="AJ790" s="594"/>
      <c r="AK790" s="594"/>
      <c r="AL790" s="594"/>
      <c r="AM790" s="549"/>
      <c r="AN790" s="683"/>
      <c r="AS790" s="673"/>
      <c r="AT790" s="673"/>
      <c r="AU790" s="673"/>
      <c r="AV790" s="673"/>
      <c r="AW790" s="673"/>
      <c r="AX790" s="673"/>
      <c r="AY790" s="673"/>
      <c r="AZ790" s="673"/>
      <c r="BA790" s="673"/>
      <c r="BB790" s="673"/>
      <c r="BC790" s="673"/>
      <c r="BD790" s="689"/>
      <c r="BE790" s="689"/>
      <c r="BF790" s="689"/>
      <c r="BG790" s="689"/>
      <c r="BH790" s="689"/>
      <c r="BI790" s="673"/>
      <c r="BJ790" s="673"/>
      <c r="BK790" s="673"/>
      <c r="BL790" s="673"/>
      <c r="BM790" s="673"/>
      <c r="BN790" s="673"/>
      <c r="BO790" s="673"/>
      <c r="BP790" s="673"/>
      <c r="BQ790" s="673"/>
      <c r="BR790" s="673"/>
      <c r="BS790" s="673"/>
      <c r="BT790" s="673"/>
      <c r="BU790" s="673"/>
      <c r="BV790" s="673"/>
      <c r="BW790" s="673"/>
      <c r="BX790" s="673"/>
      <c r="BY790" s="673"/>
      <c r="BZ790" s="673"/>
      <c r="CA790" s="673"/>
      <c r="CB790" s="673"/>
      <c r="CC790" s="673"/>
    </row>
    <row r="791" spans="1:81" s="569" customFormat="1">
      <c r="A791" s="549"/>
      <c r="B791" s="615"/>
      <c r="C791" s="687"/>
      <c r="D791" s="550"/>
      <c r="E791" s="550"/>
      <c r="F791" s="550"/>
      <c r="G791" s="550"/>
      <c r="H791" s="550"/>
      <c r="I791" s="550"/>
      <c r="J791" s="550"/>
      <c r="K791" s="550"/>
      <c r="L791" s="550"/>
      <c r="M791" s="550"/>
      <c r="N791" s="550"/>
      <c r="O791" s="550"/>
      <c r="P791" s="550"/>
      <c r="Q791" s="550"/>
      <c r="R791" s="550"/>
      <c r="S791" s="550"/>
      <c r="T791" s="550"/>
      <c r="U791" s="550"/>
      <c r="V791" s="550"/>
      <c r="W791" s="550"/>
      <c r="X791" s="550"/>
      <c r="Y791" s="550"/>
      <c r="Z791" s="550"/>
      <c r="AA791" s="550"/>
      <c r="AB791" s="550"/>
      <c r="AC791" s="550"/>
      <c r="AD791" s="615"/>
      <c r="AE791" s="550"/>
      <c r="AF791" s="550"/>
      <c r="AG791" s="550"/>
      <c r="AH791" s="550"/>
      <c r="AI791" s="549"/>
      <c r="AJ791" s="549"/>
      <c r="AK791" s="549"/>
      <c r="AL791" s="549"/>
      <c r="AM791" s="549"/>
      <c r="AN791" s="683"/>
      <c r="AT791" s="673"/>
      <c r="AU791" s="673"/>
      <c r="AV791" s="673"/>
      <c r="AW791" s="673"/>
      <c r="AX791" s="673"/>
      <c r="AY791" s="673"/>
      <c r="AZ791" s="673"/>
    </row>
    <row r="792" spans="1:81" s="569" customFormat="1">
      <c r="A792" s="605"/>
      <c r="B792" s="664"/>
      <c r="C792" s="688"/>
      <c r="D792" s="663"/>
      <c r="E792" s="663"/>
      <c r="F792" s="663"/>
      <c r="G792" s="663"/>
      <c r="H792" s="663"/>
      <c r="I792" s="663"/>
      <c r="J792" s="663"/>
      <c r="K792" s="663"/>
      <c r="L792" s="663"/>
      <c r="M792" s="663"/>
      <c r="N792" s="663"/>
      <c r="O792" s="663"/>
      <c r="P792" s="663"/>
      <c r="Q792" s="663"/>
      <c r="R792" s="663"/>
      <c r="S792" s="663"/>
      <c r="T792" s="663"/>
      <c r="U792" s="663"/>
      <c r="V792" s="663"/>
      <c r="W792" s="663"/>
      <c r="X792" s="663"/>
      <c r="Y792" s="663"/>
      <c r="Z792" s="663"/>
      <c r="AA792" s="663"/>
      <c r="AB792" s="663"/>
      <c r="AC792" s="664"/>
      <c r="AD792" s="663"/>
      <c r="AE792" s="663"/>
      <c r="AF792" s="663"/>
      <c r="AG792" s="663"/>
      <c r="AH792" s="563"/>
      <c r="AI792" s="564" t="s">
        <v>1451</v>
      </c>
      <c r="AJ792" s="2489">
        <f>VLOOKUP($H$790,$AO$784:$AP$785,2,FALSE)</f>
        <v>0</v>
      </c>
      <c r="AK792" s="2491"/>
      <c r="AL792" s="594"/>
      <c r="AM792" s="549"/>
      <c r="AN792" s="683"/>
      <c r="AS792" s="673"/>
      <c r="AT792" s="673"/>
      <c r="AU792" s="673"/>
      <c r="AV792" s="673"/>
      <c r="AW792" s="673"/>
      <c r="AX792" s="673"/>
      <c r="AY792" s="673"/>
      <c r="AZ792" s="673"/>
      <c r="BA792" s="673"/>
      <c r="BB792" s="673"/>
      <c r="BC792" s="673"/>
      <c r="BD792" s="689"/>
      <c r="BE792" s="689"/>
      <c r="BF792" s="689"/>
      <c r="BG792" s="689"/>
      <c r="BH792" s="689"/>
      <c r="BI792" s="673"/>
      <c r="BJ792" s="673"/>
      <c r="BK792" s="673"/>
      <c r="BL792" s="673"/>
      <c r="BM792" s="673"/>
      <c r="BN792" s="673"/>
      <c r="BO792" s="673"/>
      <c r="BP792" s="673"/>
      <c r="BQ792" s="673"/>
      <c r="BR792" s="673"/>
      <c r="BS792" s="673"/>
      <c r="BT792" s="673"/>
      <c r="BU792" s="673"/>
      <c r="BV792" s="673"/>
      <c r="BW792" s="673"/>
      <c r="BX792" s="673"/>
      <c r="BY792" s="673"/>
      <c r="BZ792" s="673"/>
      <c r="CA792" s="673"/>
      <c r="CB792" s="673"/>
      <c r="CC792" s="673"/>
    </row>
    <row r="793" spans="1:81" s="549" customFormat="1" ht="12.75" customHeight="1">
      <c r="B793" s="615"/>
      <c r="C793" s="687"/>
      <c r="D793" s="550"/>
      <c r="E793" s="550"/>
      <c r="F793" s="550"/>
      <c r="G793" s="550"/>
      <c r="H793" s="550"/>
      <c r="I793" s="550"/>
      <c r="J793" s="550"/>
      <c r="K793" s="550"/>
      <c r="L793" s="550"/>
      <c r="M793" s="550"/>
      <c r="N793" s="550"/>
      <c r="O793" s="550"/>
      <c r="P793" s="550"/>
      <c r="Q793" s="550"/>
      <c r="R793" s="550"/>
      <c r="S793" s="550"/>
      <c r="T793" s="550"/>
      <c r="U793" s="550"/>
      <c r="V793" s="550"/>
      <c r="W793" s="550"/>
      <c r="X793" s="550"/>
      <c r="Y793" s="550"/>
      <c r="Z793" s="550"/>
      <c r="AA793" s="550"/>
      <c r="AB793" s="550"/>
      <c r="AC793" s="550"/>
      <c r="AD793" s="615"/>
      <c r="AE793" s="550"/>
      <c r="AF793" s="550"/>
      <c r="AG793" s="550"/>
      <c r="AH793" s="550"/>
      <c r="AN793" s="596"/>
    </row>
    <row r="794" spans="1:81" s="549" customFormat="1" ht="12.75" customHeight="1">
      <c r="A794" s="605"/>
      <c r="B794" s="663"/>
      <c r="C794" s="663"/>
      <c r="D794" s="663"/>
      <c r="E794" s="663"/>
      <c r="F794" s="663"/>
      <c r="G794" s="663"/>
      <c r="H794" s="663"/>
      <c r="I794" s="663"/>
      <c r="J794" s="663"/>
      <c r="K794" s="663"/>
      <c r="L794" s="663"/>
      <c r="M794" s="663"/>
      <c r="N794" s="663"/>
      <c r="O794" s="663"/>
      <c r="P794" s="663"/>
      <c r="Q794" s="663"/>
      <c r="R794" s="663"/>
      <c r="S794" s="663"/>
      <c r="T794" s="663"/>
      <c r="U794" s="663"/>
      <c r="V794" s="663"/>
      <c r="W794" s="663"/>
      <c r="X794" s="663"/>
      <c r="Y794" s="663"/>
      <c r="Z794" s="663"/>
      <c r="AA794" s="663"/>
      <c r="AB794" s="663"/>
      <c r="AC794" s="664"/>
      <c r="AD794" s="663"/>
      <c r="AE794" s="563"/>
      <c r="AF794" s="563"/>
      <c r="AG794" s="563"/>
      <c r="AH794" s="563"/>
      <c r="AI794" s="564"/>
      <c r="AJ794" s="564" t="s">
        <v>1452</v>
      </c>
      <c r="AK794" s="2489">
        <f>IF(($AJ$621+$AJ$640+$AJ$652+$AJ$687+$AJ$711+$AJ$725+$AJ$737+$AJ$753+$AJ$765+$AJ$781+AJ792)&gt;10,10,($AJ$621+$AJ$640+$AJ$652+$AJ$687+$AJ$711+$AJ$725+$AJ$737+$AJ$753+$AJ$765+$AJ$781+AJ792))</f>
        <v>10</v>
      </c>
      <c r="AL794" s="2490"/>
      <c r="AM794" s="2491"/>
      <c r="AN794" s="596"/>
    </row>
    <row r="795" spans="1:81" s="549" customFormat="1" ht="12.75" customHeight="1">
      <c r="B795" s="550"/>
      <c r="C795" s="550"/>
      <c r="D795" s="550"/>
      <c r="E795" s="550"/>
      <c r="F795" s="550"/>
      <c r="G795" s="550"/>
      <c r="H795" s="550"/>
      <c r="I795" s="550"/>
      <c r="J795" s="550"/>
      <c r="K795" s="550"/>
      <c r="L795" s="550"/>
      <c r="M795" s="550"/>
      <c r="N795" s="550"/>
      <c r="O795" s="550"/>
      <c r="P795" s="550"/>
      <c r="Q795" s="550"/>
      <c r="R795" s="550"/>
      <c r="S795" s="550"/>
      <c r="T795" s="550"/>
      <c r="U795" s="550"/>
      <c r="V795" s="550"/>
      <c r="W795" s="550"/>
      <c r="X795" s="550"/>
      <c r="Y795" s="550"/>
      <c r="Z795" s="550"/>
      <c r="AA795" s="550"/>
      <c r="AB795" s="550"/>
      <c r="AC795" s="615"/>
      <c r="AD795" s="550"/>
      <c r="AI795" s="542"/>
      <c r="AJ795" s="542"/>
      <c r="AK795" s="594"/>
      <c r="AL795" s="594"/>
      <c r="AM795" s="594"/>
      <c r="AN795" s="596"/>
    </row>
    <row r="796" spans="1:81">
      <c r="B796" s="549"/>
      <c r="C796" s="549"/>
      <c r="D796" s="549"/>
      <c r="E796" s="549"/>
      <c r="F796" s="549"/>
      <c r="G796" s="549"/>
      <c r="H796" s="549"/>
      <c r="I796" s="549"/>
      <c r="J796" s="549"/>
      <c r="K796" s="549"/>
      <c r="L796" s="549"/>
      <c r="M796" s="549"/>
      <c r="N796" s="549"/>
      <c r="O796" s="549"/>
      <c r="P796" s="549"/>
      <c r="Q796" s="549"/>
      <c r="R796" s="549"/>
      <c r="S796" s="549"/>
      <c r="T796" s="549"/>
      <c r="U796" s="549"/>
      <c r="V796" s="549"/>
      <c r="W796" s="549"/>
      <c r="X796" s="549"/>
      <c r="Y796" s="549"/>
      <c r="Z796" s="549"/>
      <c r="AA796" s="549"/>
      <c r="AB796" s="549"/>
      <c r="AC796" s="549"/>
      <c r="AD796" s="549"/>
      <c r="AE796" s="549"/>
      <c r="AF796" s="549"/>
      <c r="AG796" s="549"/>
      <c r="AH796" s="549"/>
      <c r="AI796" s="549"/>
      <c r="AJ796" s="549"/>
      <c r="AK796" s="549"/>
      <c r="AL796" s="549"/>
      <c r="AM796" s="549"/>
    </row>
    <row r="797" spans="1:81">
      <c r="A797" s="2582" t="s">
        <v>1569</v>
      </c>
      <c r="B797" s="2583"/>
      <c r="C797" s="2583"/>
      <c r="D797" s="2583"/>
      <c r="E797" s="2583"/>
      <c r="F797" s="2583"/>
      <c r="G797" s="2583"/>
      <c r="H797" s="2583"/>
      <c r="I797" s="2583"/>
      <c r="J797" s="2583"/>
      <c r="K797" s="2583"/>
      <c r="L797" s="2583"/>
      <c r="M797" s="2583"/>
      <c r="N797" s="2583"/>
      <c r="O797" s="2583"/>
      <c r="P797" s="2583"/>
      <c r="Q797" s="2583"/>
      <c r="R797" s="2583"/>
      <c r="S797" s="2583"/>
      <c r="T797" s="2583"/>
      <c r="U797" s="2583"/>
      <c r="V797" s="2583"/>
      <c r="W797" s="2583"/>
      <c r="X797" s="2583"/>
      <c r="Y797" s="2583"/>
      <c r="Z797" s="2583"/>
      <c r="AA797" s="2583"/>
      <c r="AB797" s="2583"/>
      <c r="AC797" s="2583"/>
      <c r="AD797" s="2583"/>
      <c r="AE797" s="2583"/>
      <c r="AF797" s="2583"/>
      <c r="AG797" s="2583"/>
      <c r="AH797" s="2583"/>
      <c r="AI797" s="2583"/>
      <c r="AJ797" s="2583"/>
      <c r="AK797" s="2583"/>
      <c r="AL797" s="2583"/>
      <c r="AM797" s="2583"/>
    </row>
    <row r="798" spans="1:81">
      <c r="A798" s="2584"/>
      <c r="B798" s="2584"/>
      <c r="C798" s="2584"/>
      <c r="D798" s="2584"/>
      <c r="E798" s="2584"/>
      <c r="F798" s="2584"/>
      <c r="G798" s="2584"/>
      <c r="H798" s="2584"/>
      <c r="I798" s="2584"/>
      <c r="J798" s="2584"/>
      <c r="K798" s="2584"/>
      <c r="L798" s="2584"/>
      <c r="M798" s="2584"/>
      <c r="N798" s="2584"/>
      <c r="O798" s="2584"/>
      <c r="P798" s="2584"/>
      <c r="Q798" s="2584"/>
      <c r="R798" s="2584"/>
      <c r="S798" s="2584"/>
      <c r="T798" s="2584"/>
      <c r="U798" s="2584"/>
      <c r="V798" s="2584"/>
      <c r="W798" s="2584"/>
      <c r="X798" s="2584"/>
      <c r="Y798" s="2584"/>
      <c r="Z798" s="2584"/>
      <c r="AA798" s="2584"/>
      <c r="AB798" s="2584"/>
      <c r="AC798" s="2584"/>
      <c r="AD798" s="2584"/>
      <c r="AE798" s="2584"/>
      <c r="AF798" s="2584"/>
      <c r="AG798" s="2584"/>
      <c r="AH798" s="2584"/>
      <c r="AI798" s="2584"/>
      <c r="AJ798" s="2584"/>
      <c r="AK798" s="2584"/>
      <c r="AL798" s="2584"/>
      <c r="AM798" s="2584"/>
      <c r="AO798" s="815"/>
      <c r="AP798" s="815"/>
      <c r="AQ798" s="815"/>
    </row>
    <row r="799" spans="1:81">
      <c r="A799" s="549"/>
      <c r="B799" s="570"/>
      <c r="C799" s="571"/>
      <c r="D799" s="571"/>
      <c r="E799" s="571"/>
      <c r="F799" s="571"/>
      <c r="G799" s="571"/>
      <c r="H799" s="571"/>
      <c r="I799" s="572"/>
      <c r="J799" s="572"/>
      <c r="K799" s="572"/>
      <c r="L799" s="572"/>
      <c r="M799" s="572"/>
      <c r="N799" s="572"/>
      <c r="O799" s="572"/>
      <c r="P799" s="572"/>
      <c r="Q799" s="572"/>
      <c r="S799" s="538"/>
      <c r="T799" s="538"/>
      <c r="U799" s="538"/>
      <c r="V799" s="538"/>
      <c r="W799" s="538"/>
      <c r="X799" s="538"/>
      <c r="Y799" s="538"/>
      <c r="Z799" s="538"/>
      <c r="AA799" s="538"/>
      <c r="AB799" s="538"/>
      <c r="AC799" s="538"/>
      <c r="AD799" s="538"/>
      <c r="AE799" s="538"/>
      <c r="AG799" s="538"/>
      <c r="AH799" s="538"/>
      <c r="AI799" s="538"/>
      <c r="AJ799" s="538"/>
      <c r="AK799" s="549"/>
      <c r="AL799" s="549"/>
      <c r="AM799" s="536"/>
      <c r="AO799" s="815"/>
      <c r="AP799" s="815"/>
      <c r="AQ799" s="815"/>
    </row>
    <row r="800" spans="1:81">
      <c r="A800" s="2530"/>
      <c r="B800" s="2530"/>
      <c r="C800" s="2530"/>
      <c r="D800" s="2530"/>
      <c r="E800" s="2530"/>
      <c r="F800" s="2530"/>
      <c r="G800" s="2530"/>
      <c r="H800" s="2530"/>
      <c r="I800" s="2530"/>
      <c r="J800" s="2530"/>
      <c r="K800" s="2530"/>
      <c r="L800" s="2530"/>
      <c r="M800" s="2530"/>
      <c r="N800" s="2530"/>
      <c r="O800" s="2530"/>
      <c r="P800" s="2530"/>
      <c r="Q800" s="2530"/>
      <c r="R800" s="2530"/>
      <c r="S800" s="2530"/>
      <c r="T800" s="2530"/>
      <c r="U800" s="2530"/>
      <c r="V800" s="2530"/>
      <c r="W800" s="2530"/>
      <c r="X800" s="2530"/>
      <c r="Y800" s="2530"/>
      <c r="Z800" s="2530"/>
      <c r="AA800" s="2530"/>
      <c r="AB800" s="2530"/>
      <c r="AC800" s="2530"/>
      <c r="AD800" s="2530"/>
      <c r="AE800" s="2530"/>
      <c r="AF800" s="2530"/>
      <c r="AG800" s="2530"/>
      <c r="AH800" s="2530"/>
      <c r="AI800" s="2530"/>
      <c r="AJ800" s="2530"/>
      <c r="AK800" s="2530"/>
      <c r="AL800" s="2530"/>
      <c r="AM800" s="2530"/>
      <c r="AP800" s="815"/>
      <c r="AQ800" s="815"/>
    </row>
    <row r="801" spans="1:81">
      <c r="A801" s="2530"/>
      <c r="B801" s="2530"/>
      <c r="C801" s="2530"/>
      <c r="D801" s="2530"/>
      <c r="E801" s="2530"/>
      <c r="F801" s="2530"/>
      <c r="G801" s="2530"/>
      <c r="H801" s="2530"/>
      <c r="I801" s="2530"/>
      <c r="J801" s="2530"/>
      <c r="K801" s="2530"/>
      <c r="L801" s="2530"/>
      <c r="M801" s="2530"/>
      <c r="N801" s="2530"/>
      <c r="O801" s="2530"/>
      <c r="P801" s="2530"/>
      <c r="Q801" s="2530"/>
      <c r="R801" s="2530"/>
      <c r="S801" s="2530"/>
      <c r="T801" s="2530"/>
      <c r="U801" s="2530"/>
      <c r="V801" s="2530"/>
      <c r="W801" s="2530"/>
      <c r="X801" s="2530"/>
      <c r="Y801" s="2530"/>
      <c r="Z801" s="2530"/>
      <c r="AA801" s="2530"/>
      <c r="AB801" s="2530"/>
      <c r="AC801" s="2530"/>
      <c r="AD801" s="2530"/>
      <c r="AE801" s="2530"/>
      <c r="AF801" s="2530"/>
      <c r="AG801" s="2530"/>
      <c r="AH801" s="2530"/>
      <c r="AI801" s="2530"/>
      <c r="AJ801" s="2530"/>
      <c r="AK801" s="2530"/>
      <c r="AL801" s="2530"/>
      <c r="AM801" s="2530"/>
      <c r="AO801" s="815"/>
      <c r="AQ801" s="815"/>
    </row>
    <row r="802" spans="1:81">
      <c r="A802" s="816"/>
      <c r="B802" s="666"/>
      <c r="C802" s="666"/>
      <c r="D802" s="666"/>
      <c r="E802" s="666"/>
      <c r="F802" s="666"/>
      <c r="G802" s="666"/>
      <c r="H802" s="666"/>
      <c r="I802" s="666"/>
      <c r="J802" s="666"/>
      <c r="K802" s="666"/>
      <c r="L802" s="666"/>
      <c r="M802" s="666"/>
      <c r="N802" s="666"/>
      <c r="O802" s="666"/>
      <c r="P802" s="666"/>
      <c r="Q802" s="666"/>
      <c r="R802" s="666"/>
      <c r="S802" s="668"/>
      <c r="T802" s="2585" t="s">
        <v>1570</v>
      </c>
      <c r="U802" s="2586"/>
      <c r="V802" s="2586"/>
      <c r="W802" s="2586"/>
      <c r="X802" s="2586"/>
      <c r="Y802" s="2587"/>
      <c r="Z802" s="2585" t="s">
        <v>1571</v>
      </c>
      <c r="AA802" s="2586"/>
      <c r="AB802" s="2586"/>
      <c r="AC802" s="2586"/>
      <c r="AD802" s="2586"/>
      <c r="AE802" s="2587"/>
      <c r="AF802" s="2585" t="s">
        <v>1572</v>
      </c>
      <c r="AG802" s="2586"/>
      <c r="AH802" s="2586"/>
      <c r="AI802" s="2586"/>
      <c r="AJ802" s="2586"/>
      <c r="AK802" s="2587"/>
      <c r="AL802" s="817"/>
      <c r="AM802" s="595"/>
      <c r="AO802" s="815"/>
      <c r="AP802" s="815"/>
      <c r="AQ802" s="815"/>
    </row>
    <row r="803" spans="1:81">
      <c r="A803" s="818"/>
      <c r="B803" s="693"/>
      <c r="C803" s="693"/>
      <c r="D803" s="693"/>
      <c r="E803" s="693"/>
      <c r="F803" s="693"/>
      <c r="G803" s="693"/>
      <c r="H803" s="693"/>
      <c r="I803" s="693"/>
      <c r="J803" s="693"/>
      <c r="K803" s="693"/>
      <c r="L803" s="693"/>
      <c r="M803" s="693"/>
      <c r="N803" s="693"/>
      <c r="O803" s="693"/>
      <c r="P803" s="693"/>
      <c r="Q803" s="693"/>
      <c r="R803" s="693"/>
      <c r="S803" s="707"/>
      <c r="T803" s="2588"/>
      <c r="U803" s="2589"/>
      <c r="V803" s="2589"/>
      <c r="W803" s="2589"/>
      <c r="X803" s="2589"/>
      <c r="Y803" s="2590"/>
      <c r="Z803" s="2588"/>
      <c r="AA803" s="2589"/>
      <c r="AB803" s="2589"/>
      <c r="AC803" s="2589"/>
      <c r="AD803" s="2589"/>
      <c r="AE803" s="2590"/>
      <c r="AF803" s="2588"/>
      <c r="AG803" s="2589"/>
      <c r="AH803" s="2589"/>
      <c r="AI803" s="2589"/>
      <c r="AJ803" s="2589"/>
      <c r="AK803" s="2590"/>
      <c r="AL803" s="817"/>
      <c r="AM803" s="595"/>
      <c r="AO803" s="815"/>
      <c r="AP803" s="815"/>
      <c r="AQ803" s="815"/>
    </row>
    <row r="804" spans="1:81">
      <c r="A804" s="818" t="s">
        <v>758</v>
      </c>
      <c r="B804" s="2565" t="s">
        <v>1305</v>
      </c>
      <c r="C804" s="2565"/>
      <c r="D804" s="2565"/>
      <c r="E804" s="2565"/>
      <c r="F804" s="2565"/>
      <c r="G804" s="2565"/>
      <c r="H804" s="2565"/>
      <c r="I804" s="2565"/>
      <c r="J804" s="2565"/>
      <c r="K804" s="2565"/>
      <c r="L804" s="2565"/>
      <c r="M804" s="2565"/>
      <c r="N804" s="2565"/>
      <c r="O804" s="2565"/>
      <c r="P804" s="2565"/>
      <c r="Q804" s="2565"/>
      <c r="R804" s="2565"/>
      <c r="S804" s="2566"/>
      <c r="T804" s="2567">
        <f>AK62</f>
        <v>0</v>
      </c>
      <c r="U804" s="2568"/>
      <c r="V804" s="2568"/>
      <c r="W804" s="2568"/>
      <c r="X804" s="2568"/>
      <c r="Y804" s="2569"/>
      <c r="Z804" s="2570">
        <v>20</v>
      </c>
      <c r="AA804" s="2568"/>
      <c r="AB804" s="2568"/>
      <c r="AC804" s="2568"/>
      <c r="AD804" s="2568"/>
      <c r="AE804" s="2569"/>
      <c r="AF804" s="2551">
        <f>IF(T804&gt;Z804,Z804,T804)</f>
        <v>0</v>
      </c>
      <c r="AG804" s="2551"/>
      <c r="AH804" s="2551"/>
      <c r="AI804" s="2551"/>
      <c r="AJ804" s="2551"/>
      <c r="AK804" s="2551"/>
      <c r="AL804" s="817"/>
      <c r="AM804" s="595"/>
      <c r="AO804" s="815"/>
      <c r="AP804" s="815"/>
      <c r="AQ804" s="815"/>
    </row>
    <row r="805" spans="1:81">
      <c r="A805" s="818" t="s">
        <v>1542</v>
      </c>
      <c r="B805" s="2565" t="s">
        <v>1314</v>
      </c>
      <c r="C805" s="2565"/>
      <c r="D805" s="2565"/>
      <c r="E805" s="2565"/>
      <c r="F805" s="2565"/>
      <c r="G805" s="2565"/>
      <c r="H805" s="2565"/>
      <c r="I805" s="2565"/>
      <c r="J805" s="2565"/>
      <c r="K805" s="2565"/>
      <c r="L805" s="2565"/>
      <c r="M805" s="2565"/>
      <c r="N805" s="2565"/>
      <c r="O805" s="2565"/>
      <c r="P805" s="2565"/>
      <c r="Q805" s="2565"/>
      <c r="R805" s="2565"/>
      <c r="S805" s="2566"/>
      <c r="T805" s="2567">
        <f>AK84</f>
        <v>10</v>
      </c>
      <c r="U805" s="2568"/>
      <c r="V805" s="2568"/>
      <c r="W805" s="2568"/>
      <c r="X805" s="2568"/>
      <c r="Y805" s="2569"/>
      <c r="Z805" s="2570">
        <v>10</v>
      </c>
      <c r="AA805" s="2568"/>
      <c r="AB805" s="2568"/>
      <c r="AC805" s="2568"/>
      <c r="AD805" s="2568"/>
      <c r="AE805" s="2569"/>
      <c r="AF805" s="2551">
        <f>IF(T805&gt;Z805,Z805,T805)</f>
        <v>10</v>
      </c>
      <c r="AG805" s="2551"/>
      <c r="AH805" s="2551"/>
      <c r="AI805" s="2551"/>
      <c r="AJ805" s="2551"/>
      <c r="AK805" s="2551"/>
      <c r="AL805" s="817"/>
      <c r="AM805" s="595"/>
      <c r="AO805" s="815"/>
      <c r="AP805" s="815"/>
      <c r="AQ805" s="815"/>
    </row>
    <row r="806" spans="1:81">
      <c r="A806" s="818" t="s">
        <v>1551</v>
      </c>
      <c r="B806" s="2565" t="s">
        <v>1324</v>
      </c>
      <c r="C806" s="2565"/>
      <c r="D806" s="2565"/>
      <c r="E806" s="2565"/>
      <c r="F806" s="2565"/>
      <c r="G806" s="2565"/>
      <c r="H806" s="2565"/>
      <c r="I806" s="2565"/>
      <c r="J806" s="2565"/>
      <c r="K806" s="2565"/>
      <c r="L806" s="2565"/>
      <c r="M806" s="2565"/>
      <c r="N806" s="2565"/>
      <c r="O806" s="2565"/>
      <c r="P806" s="2565"/>
      <c r="Q806" s="2565"/>
      <c r="R806" s="2565"/>
      <c r="S806" s="2566"/>
      <c r="T806" s="2567">
        <f>AK109</f>
        <v>20</v>
      </c>
      <c r="U806" s="2568"/>
      <c r="V806" s="2568"/>
      <c r="W806" s="2568"/>
      <c r="X806" s="2568"/>
      <c r="Y806" s="2569"/>
      <c r="Z806" s="2570">
        <v>20</v>
      </c>
      <c r="AA806" s="2568"/>
      <c r="AB806" s="2568"/>
      <c r="AC806" s="2568"/>
      <c r="AD806" s="2568"/>
      <c r="AE806" s="2569"/>
      <c r="AF806" s="2551">
        <f>IF(T806&gt;Z806,Z806,T806)</f>
        <v>20</v>
      </c>
      <c r="AG806" s="2551"/>
      <c r="AH806" s="2551"/>
      <c r="AI806" s="2551"/>
      <c r="AJ806" s="2551"/>
      <c r="AK806" s="2551"/>
      <c r="AL806" s="817"/>
      <c r="AM806" s="595"/>
      <c r="AO806" s="815"/>
      <c r="AP806" s="815"/>
      <c r="AQ806" s="815"/>
    </row>
    <row r="807" spans="1:81">
      <c r="A807" s="818" t="s">
        <v>1573</v>
      </c>
      <c r="B807" s="2565" t="s">
        <v>1334</v>
      </c>
      <c r="C807" s="2565"/>
      <c r="D807" s="2565"/>
      <c r="E807" s="2565"/>
      <c r="F807" s="2565"/>
      <c r="G807" s="2565"/>
      <c r="H807" s="2565"/>
      <c r="I807" s="2565"/>
      <c r="J807" s="2565"/>
      <c r="K807" s="2565"/>
      <c r="L807" s="2565"/>
      <c r="M807" s="2565"/>
      <c r="N807" s="2565"/>
      <c r="O807" s="2565"/>
      <c r="P807" s="2565"/>
      <c r="Q807" s="2565"/>
      <c r="R807" s="2565"/>
      <c r="S807" s="2566"/>
      <c r="T807" s="2567">
        <f>AK143</f>
        <v>10</v>
      </c>
      <c r="U807" s="2568"/>
      <c r="V807" s="2568"/>
      <c r="W807" s="2568"/>
      <c r="X807" s="2568"/>
      <c r="Y807" s="2569"/>
      <c r="Z807" s="2570">
        <v>10</v>
      </c>
      <c r="AA807" s="2568"/>
      <c r="AB807" s="2568"/>
      <c r="AC807" s="2568"/>
      <c r="AD807" s="2568"/>
      <c r="AE807" s="2569"/>
      <c r="AF807" s="2551">
        <f>IF(T807&gt;Z807,Z807,T807)</f>
        <v>10</v>
      </c>
      <c r="AG807" s="2551"/>
      <c r="AH807" s="2551"/>
      <c r="AI807" s="2551"/>
      <c r="AJ807" s="2551"/>
      <c r="AK807" s="2551"/>
      <c r="AL807" s="817"/>
      <c r="AM807" s="595"/>
      <c r="AO807" s="815"/>
      <c r="AP807" s="815"/>
      <c r="AQ807" s="815"/>
    </row>
    <row r="808" spans="1:81">
      <c r="A808" s="819" t="s">
        <v>1574</v>
      </c>
      <c r="B808" s="2565" t="s">
        <v>1575</v>
      </c>
      <c r="C808" s="2565"/>
      <c r="D808" s="2565"/>
      <c r="E808" s="2565"/>
      <c r="F808" s="2565"/>
      <c r="G808" s="2565"/>
      <c r="H808" s="2565"/>
      <c r="I808" s="2565"/>
      <c r="J808" s="2565"/>
      <c r="K808" s="2565"/>
      <c r="L808" s="2565"/>
      <c r="M808" s="2565"/>
      <c r="N808" s="2565"/>
      <c r="O808" s="2565"/>
      <c r="P808" s="2565"/>
      <c r="Q808" s="2565"/>
      <c r="R808" s="2565"/>
      <c r="S808" s="2566"/>
      <c r="T808" s="2591">
        <f>SUM(T809:Y810)</f>
        <v>10</v>
      </c>
      <c r="U808" s="2591"/>
      <c r="V808" s="2591"/>
      <c r="W808" s="2591"/>
      <c r="X808" s="2591"/>
      <c r="Y808" s="2591"/>
      <c r="Z808" s="2551">
        <v>10</v>
      </c>
      <c r="AA808" s="2551"/>
      <c r="AB808" s="2551"/>
      <c r="AC808" s="2551"/>
      <c r="AD808" s="2551"/>
      <c r="AE808" s="2551"/>
      <c r="AF808" s="2551">
        <f>IF(T808&gt;Z808,Z808,T808)</f>
        <v>10</v>
      </c>
      <c r="AG808" s="2551"/>
      <c r="AH808" s="2551"/>
      <c r="AI808" s="2551"/>
      <c r="AJ808" s="2551"/>
      <c r="AK808" s="2551"/>
      <c r="AL808" s="817"/>
      <c r="AM808" s="595"/>
    </row>
    <row r="809" spans="1:81">
      <c r="A809" s="534"/>
      <c r="B809" s="600"/>
      <c r="C809" s="2592" t="s">
        <v>1576</v>
      </c>
      <c r="D809" s="2592"/>
      <c r="E809" s="2592"/>
      <c r="F809" s="2592"/>
      <c r="G809" s="2592"/>
      <c r="H809" s="2592"/>
      <c r="I809" s="2592"/>
      <c r="J809" s="2592"/>
      <c r="K809" s="2592"/>
      <c r="L809" s="2592"/>
      <c r="M809" s="2592"/>
      <c r="N809" s="2592"/>
      <c r="O809" s="2592"/>
      <c r="P809" s="2592"/>
      <c r="Q809" s="2592"/>
      <c r="R809" s="2592"/>
      <c r="S809" s="2593"/>
      <c r="T809" s="2484">
        <f>AJ166</f>
        <v>7</v>
      </c>
      <c r="U809" s="2484"/>
      <c r="V809" s="2484"/>
      <c r="W809" s="2484"/>
      <c r="X809" s="2484"/>
      <c r="Y809" s="2484"/>
      <c r="Z809" s="2485">
        <v>7</v>
      </c>
      <c r="AA809" s="2485"/>
      <c r="AB809" s="2485"/>
      <c r="AC809" s="2485"/>
      <c r="AD809" s="2485"/>
      <c r="AE809" s="2485"/>
      <c r="AF809" s="2594"/>
      <c r="AG809" s="2594"/>
      <c r="AH809" s="2594"/>
      <c r="AI809" s="2594"/>
      <c r="AJ809" s="2594"/>
      <c r="AK809" s="2594"/>
      <c r="AL809" s="817"/>
      <c r="AM809" s="595"/>
    </row>
    <row r="810" spans="1:81">
      <c r="A810" s="599"/>
      <c r="B810" s="600"/>
      <c r="C810" s="2592" t="s">
        <v>1577</v>
      </c>
      <c r="D810" s="2592"/>
      <c r="E810" s="2592"/>
      <c r="F810" s="2592"/>
      <c r="G810" s="2592"/>
      <c r="H810" s="2592"/>
      <c r="I810" s="2592"/>
      <c r="J810" s="2592"/>
      <c r="K810" s="2592"/>
      <c r="L810" s="2592"/>
      <c r="M810" s="2592"/>
      <c r="N810" s="2592"/>
      <c r="O810" s="2592"/>
      <c r="P810" s="2592"/>
      <c r="Q810" s="2592"/>
      <c r="R810" s="2592"/>
      <c r="S810" s="2593"/>
      <c r="T810" s="2484">
        <f>AJ180</f>
        <v>3</v>
      </c>
      <c r="U810" s="2484"/>
      <c r="V810" s="2484"/>
      <c r="W810" s="2484"/>
      <c r="X810" s="2484"/>
      <c r="Y810" s="2484"/>
      <c r="Z810" s="2485">
        <v>3</v>
      </c>
      <c r="AA810" s="2485"/>
      <c r="AB810" s="2485"/>
      <c r="AC810" s="2485"/>
      <c r="AD810" s="2485"/>
      <c r="AE810" s="2485"/>
      <c r="AF810" s="2594"/>
      <c r="AG810" s="2594"/>
      <c r="AH810" s="2594"/>
      <c r="AI810" s="2594"/>
      <c r="AJ810" s="2594"/>
      <c r="AK810" s="2594"/>
      <c r="AL810" s="817"/>
      <c r="AM810" s="595"/>
      <c r="AO810" s="549"/>
    </row>
    <row r="811" spans="1:81">
      <c r="A811" s="819" t="s">
        <v>1362</v>
      </c>
      <c r="B811" s="2565" t="s">
        <v>1578</v>
      </c>
      <c r="C811" s="2565"/>
      <c r="D811" s="2565"/>
      <c r="E811" s="2565"/>
      <c r="F811" s="2565"/>
      <c r="G811" s="2565"/>
      <c r="H811" s="2565"/>
      <c r="I811" s="2565"/>
      <c r="J811" s="2565"/>
      <c r="K811" s="2565"/>
      <c r="L811" s="2565"/>
      <c r="M811" s="2565"/>
      <c r="N811" s="2565"/>
      <c r="O811" s="2565"/>
      <c r="P811" s="2565"/>
      <c r="Q811" s="2565"/>
      <c r="R811" s="2565"/>
      <c r="S811" s="2566"/>
      <c r="T811" s="2591">
        <f>AK191</f>
        <v>10</v>
      </c>
      <c r="U811" s="2591"/>
      <c r="V811" s="2591"/>
      <c r="W811" s="2591"/>
      <c r="X811" s="2591"/>
      <c r="Y811" s="2591"/>
      <c r="Z811" s="2551">
        <v>10</v>
      </c>
      <c r="AA811" s="2551"/>
      <c r="AB811" s="2551"/>
      <c r="AC811" s="2551"/>
      <c r="AD811" s="2551"/>
      <c r="AE811" s="2551"/>
      <c r="AF811" s="2551">
        <f>IF(T811&gt;Z811,Z811,T811)</f>
        <v>10</v>
      </c>
      <c r="AG811" s="2551"/>
      <c r="AH811" s="2551"/>
      <c r="AI811" s="2551"/>
      <c r="AJ811" s="2551"/>
      <c r="AK811" s="2551"/>
      <c r="AL811" s="817"/>
      <c r="AM811" s="595"/>
    </row>
    <row r="812" spans="1:81">
      <c r="A812" s="818" t="s">
        <v>1371</v>
      </c>
      <c r="B812" s="2565" t="s">
        <v>1372</v>
      </c>
      <c r="C812" s="2565"/>
      <c r="D812" s="2565"/>
      <c r="E812" s="2565"/>
      <c r="F812" s="2565"/>
      <c r="G812" s="2565"/>
      <c r="H812" s="2565"/>
      <c r="I812" s="2565"/>
      <c r="J812" s="2565"/>
      <c r="K812" s="2565"/>
      <c r="L812" s="2565"/>
      <c r="M812" s="2565"/>
      <c r="N812" s="2565"/>
      <c r="O812" s="2565"/>
      <c r="P812" s="2565"/>
      <c r="Q812" s="2565"/>
      <c r="R812" s="2565"/>
      <c r="S812" s="2566"/>
      <c r="T812" s="2591">
        <f>AK273</f>
        <v>8</v>
      </c>
      <c r="U812" s="2591"/>
      <c r="V812" s="2591"/>
      <c r="W812" s="2591"/>
      <c r="X812" s="2591"/>
      <c r="Y812" s="2591"/>
      <c r="Z812" s="2570">
        <v>8</v>
      </c>
      <c r="AA812" s="2568"/>
      <c r="AB812" s="2568"/>
      <c r="AC812" s="2568"/>
      <c r="AD812" s="2568"/>
      <c r="AE812" s="2569"/>
      <c r="AF812" s="2551">
        <f>IF(T812&gt;Z812,Z812,T812)</f>
        <v>8</v>
      </c>
      <c r="AG812" s="2551"/>
      <c r="AH812" s="2551"/>
      <c r="AI812" s="2551"/>
      <c r="AJ812" s="2551"/>
      <c r="AK812" s="2551"/>
      <c r="AL812" s="817"/>
      <c r="AM812" s="595"/>
    </row>
    <row r="813" spans="1:81" s="533" customFormat="1" hidden="1">
      <c r="A813" s="819" t="s">
        <v>590</v>
      </c>
      <c r="B813" s="2565" t="s">
        <v>1579</v>
      </c>
      <c r="C813" s="2565"/>
      <c r="D813" s="2565"/>
      <c r="E813" s="2565"/>
      <c r="F813" s="2565"/>
      <c r="G813" s="2565"/>
      <c r="H813" s="2565"/>
      <c r="I813" s="2565"/>
      <c r="J813" s="2565"/>
      <c r="K813" s="2565"/>
      <c r="L813" s="2565"/>
      <c r="M813" s="2565"/>
      <c r="N813" s="2565"/>
      <c r="O813" s="2565"/>
      <c r="P813" s="2565"/>
      <c r="Q813" s="2565"/>
      <c r="R813" s="2565"/>
      <c r="S813" s="2566"/>
      <c r="T813" s="2591">
        <f>IF(AK535&gt;5,5,AK535)</f>
        <v>0</v>
      </c>
      <c r="U813" s="2591"/>
      <c r="V813" s="2591"/>
      <c r="W813" s="2591"/>
      <c r="X813" s="2591"/>
      <c r="Y813" s="2591"/>
      <c r="Z813" s="2551">
        <v>5</v>
      </c>
      <c r="AA813" s="2551"/>
      <c r="AB813" s="2551"/>
      <c r="AC813" s="2551"/>
      <c r="AD813" s="2551"/>
      <c r="AE813" s="2551"/>
      <c r="AF813" s="2551">
        <f>IF(T813&gt;Z813,5,T813)</f>
        <v>0</v>
      </c>
      <c r="AG813" s="2551"/>
      <c r="AH813" s="2551"/>
      <c r="AI813" s="2551"/>
      <c r="AJ813" s="2551"/>
      <c r="AK813" s="2551"/>
      <c r="AL813" s="817"/>
      <c r="AM813" s="595"/>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3" customFormat="1">
      <c r="A814" s="818" t="s">
        <v>1377</v>
      </c>
      <c r="B814" s="2565" t="s">
        <v>1580</v>
      </c>
      <c r="C814" s="2565"/>
      <c r="D814" s="2565"/>
      <c r="E814" s="2565"/>
      <c r="F814" s="2565"/>
      <c r="G814" s="2565"/>
      <c r="H814" s="2565"/>
      <c r="I814" s="2565"/>
      <c r="J814" s="2565"/>
      <c r="K814" s="2565"/>
      <c r="L814" s="2565"/>
      <c r="M814" s="2565"/>
      <c r="N814" s="2565"/>
      <c r="O814" s="2565"/>
      <c r="P814" s="2565"/>
      <c r="Q814" s="2565"/>
      <c r="R814" s="2565"/>
      <c r="S814" s="2566"/>
      <c r="T814" s="2591">
        <f>AK285</f>
        <v>10</v>
      </c>
      <c r="U814" s="2591"/>
      <c r="V814" s="2591"/>
      <c r="W814" s="2591"/>
      <c r="X814" s="2591"/>
      <c r="Y814" s="2591"/>
      <c r="Z814" s="2551">
        <v>10</v>
      </c>
      <c r="AA814" s="2551"/>
      <c r="AB814" s="2551"/>
      <c r="AC814" s="2551"/>
      <c r="AD814" s="2551"/>
      <c r="AE814" s="2551"/>
      <c r="AF814" s="2597">
        <f>IF(T814&gt;Z814,Z814,T814)</f>
        <v>10</v>
      </c>
      <c r="AG814" s="2598"/>
      <c r="AH814" s="2598"/>
      <c r="AI814" s="2598"/>
      <c r="AJ814" s="2598"/>
      <c r="AK814" s="2599"/>
      <c r="AL814" s="817"/>
      <c r="AM814" s="595"/>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3" customFormat="1">
      <c r="A815" s="819" t="s">
        <v>1381</v>
      </c>
      <c r="B815" s="2565" t="s">
        <v>1382</v>
      </c>
      <c r="C815" s="2565"/>
      <c r="D815" s="2565"/>
      <c r="E815" s="2565"/>
      <c r="F815" s="2565"/>
      <c r="G815" s="2565"/>
      <c r="H815" s="2565"/>
      <c r="I815" s="2565"/>
      <c r="J815" s="2565"/>
      <c r="K815" s="2565"/>
      <c r="L815" s="2565"/>
      <c r="M815" s="2565"/>
      <c r="N815" s="2565"/>
      <c r="O815" s="2565"/>
      <c r="P815" s="2565"/>
      <c r="Q815" s="2565"/>
      <c r="R815" s="2565"/>
      <c r="S815" s="2566"/>
      <c r="T815" s="2591">
        <f>AK338</f>
        <v>9</v>
      </c>
      <c r="U815" s="2591"/>
      <c r="V815" s="2591"/>
      <c r="W815" s="2591"/>
      <c r="X815" s="2591"/>
      <c r="Y815" s="2591"/>
      <c r="Z815" s="2597">
        <v>10</v>
      </c>
      <c r="AA815" s="2598"/>
      <c r="AB815" s="2598"/>
      <c r="AC815" s="2598"/>
      <c r="AD815" s="2598"/>
      <c r="AE815" s="2599"/>
      <c r="AF815" s="2597">
        <f>IF(T815&gt;Z815,Z815,T815)</f>
        <v>9</v>
      </c>
      <c r="AG815" s="2598"/>
      <c r="AH815" s="2598"/>
      <c r="AI815" s="2598"/>
      <c r="AJ815" s="2598"/>
      <c r="AK815" s="2599"/>
      <c r="AL815" s="538"/>
      <c r="AM815" s="595"/>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3" customFormat="1" hidden="1">
      <c r="A816" s="819"/>
      <c r="B816" s="820"/>
      <c r="C816" s="821" t="s">
        <v>1581</v>
      </c>
      <c r="D816" s="822"/>
      <c r="E816" s="822"/>
      <c r="F816" s="822"/>
      <c r="G816" s="822"/>
      <c r="H816" s="822"/>
      <c r="I816" s="822"/>
      <c r="J816" s="822"/>
      <c r="K816" s="822"/>
      <c r="L816" s="822"/>
      <c r="M816" s="822"/>
      <c r="N816" s="822"/>
      <c r="O816" s="822"/>
      <c r="P816" s="822"/>
      <c r="Q816" s="822"/>
      <c r="R816" s="820"/>
      <c r="S816" s="823"/>
      <c r="T816" s="2484">
        <f>AK338</f>
        <v>9</v>
      </c>
      <c r="U816" s="2484"/>
      <c r="V816" s="2484"/>
      <c r="W816" s="2484"/>
      <c r="X816" s="2484"/>
      <c r="Y816" s="2484"/>
      <c r="Z816" s="2489">
        <v>20</v>
      </c>
      <c r="AA816" s="2490"/>
      <c r="AB816" s="2490"/>
      <c r="AC816" s="2490"/>
      <c r="AD816" s="2490"/>
      <c r="AE816" s="2491"/>
      <c r="AF816" s="2594"/>
      <c r="AG816" s="2594"/>
      <c r="AH816" s="2594"/>
      <c r="AI816" s="2594"/>
      <c r="AJ816" s="2594"/>
      <c r="AK816" s="2594"/>
      <c r="AL816" s="538"/>
      <c r="AM816" s="595"/>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3" customFormat="1">
      <c r="A817" s="819" t="s">
        <v>1454</v>
      </c>
      <c r="B817" s="2565" t="s">
        <v>846</v>
      </c>
      <c r="C817" s="2565"/>
      <c r="D817" s="2565"/>
      <c r="E817" s="2565"/>
      <c r="F817" s="2565"/>
      <c r="G817" s="2565"/>
      <c r="H817" s="2565"/>
      <c r="I817" s="2565"/>
      <c r="J817" s="2565"/>
      <c r="K817" s="2565"/>
      <c r="L817" s="2565"/>
      <c r="M817" s="2565"/>
      <c r="N817" s="2565"/>
      <c r="O817" s="2565"/>
      <c r="P817" s="2565"/>
      <c r="Q817" s="2565"/>
      <c r="R817" s="2565"/>
      <c r="S817" s="2566"/>
      <c r="T817" s="2591">
        <f>AK469</f>
        <v>10</v>
      </c>
      <c r="U817" s="2591"/>
      <c r="V817" s="2591"/>
      <c r="W817" s="2591"/>
      <c r="X817" s="2591"/>
      <c r="Y817" s="2591"/>
      <c r="Z817" s="2597">
        <v>10</v>
      </c>
      <c r="AA817" s="2598"/>
      <c r="AB817" s="2598"/>
      <c r="AC817" s="2598"/>
      <c r="AD817" s="2598"/>
      <c r="AE817" s="2599"/>
      <c r="AF817" s="2551">
        <f>IF(T817&gt;Z817,Z817,T817)</f>
        <v>10</v>
      </c>
      <c r="AG817" s="2551"/>
      <c r="AH817" s="2551"/>
      <c r="AI817" s="2551"/>
      <c r="AJ817" s="2551"/>
      <c r="AK817" s="2551"/>
      <c r="AL817" s="538"/>
      <c r="AM817" s="595"/>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3" customFormat="1">
      <c r="A818" s="819" t="s">
        <v>1559</v>
      </c>
      <c r="B818" s="2565" t="s">
        <v>1560</v>
      </c>
      <c r="C818" s="2565"/>
      <c r="D818" s="2565"/>
      <c r="E818" s="2565"/>
      <c r="F818" s="2565"/>
      <c r="G818" s="2565"/>
      <c r="H818" s="2565"/>
      <c r="I818" s="2565"/>
      <c r="J818" s="2565"/>
      <c r="K818" s="2565"/>
      <c r="L818" s="2565"/>
      <c r="M818" s="2565"/>
      <c r="N818" s="2565"/>
      <c r="O818" s="2565"/>
      <c r="P818" s="2565"/>
      <c r="Q818" s="2565"/>
      <c r="R818" s="2565"/>
      <c r="S818" s="2566"/>
      <c r="T818" s="2591">
        <f>AK559</f>
        <v>12</v>
      </c>
      <c r="U818" s="2591"/>
      <c r="V818" s="2591"/>
      <c r="W818" s="2591"/>
      <c r="X818" s="2591"/>
      <c r="Y818" s="2591"/>
      <c r="Z818" s="2597">
        <v>12</v>
      </c>
      <c r="AA818" s="2598"/>
      <c r="AB818" s="2598"/>
      <c r="AC818" s="2598"/>
      <c r="AD818" s="2598"/>
      <c r="AE818" s="2599"/>
      <c r="AF818" s="2551">
        <f>IF(T818&gt;Z818,Z818,T818)</f>
        <v>12</v>
      </c>
      <c r="AG818" s="2551"/>
      <c r="AH818" s="2551"/>
      <c r="AI818" s="2551"/>
      <c r="AJ818" s="2551"/>
      <c r="AK818" s="2551"/>
      <c r="AL818" s="538"/>
      <c r="AM818" s="595"/>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3" customFormat="1">
      <c r="A819" s="819" t="s">
        <v>2022</v>
      </c>
      <c r="B819" s="2565" t="s">
        <v>1582</v>
      </c>
      <c r="C819" s="2565"/>
      <c r="D819" s="2565"/>
      <c r="E819" s="2565"/>
      <c r="F819" s="2565"/>
      <c r="G819" s="2565"/>
      <c r="H819" s="2565"/>
      <c r="I819" s="2565"/>
      <c r="J819" s="2565"/>
      <c r="K819" s="2565"/>
      <c r="L819" s="2565"/>
      <c r="M819" s="2565"/>
      <c r="N819" s="2565"/>
      <c r="O819" s="2565"/>
      <c r="P819" s="2565"/>
      <c r="Q819" s="2565"/>
      <c r="R819" s="2565"/>
      <c r="S819" s="2566"/>
      <c r="T819" s="2591">
        <f>AK794</f>
        <v>10</v>
      </c>
      <c r="U819" s="2591"/>
      <c r="V819" s="2591"/>
      <c r="W819" s="2591"/>
      <c r="X819" s="2591"/>
      <c r="Y819" s="2591"/>
      <c r="Z819" s="2597">
        <v>10</v>
      </c>
      <c r="AA819" s="2598"/>
      <c r="AB819" s="2598"/>
      <c r="AC819" s="2598"/>
      <c r="AD819" s="2598"/>
      <c r="AE819" s="2599"/>
      <c r="AF819" s="2551">
        <f>IF(T819&gt;Z819,Z819,T819)</f>
        <v>10</v>
      </c>
      <c r="AG819" s="2551"/>
      <c r="AH819" s="2551"/>
      <c r="AI819" s="2551"/>
      <c r="AJ819" s="2551"/>
      <c r="AK819" s="2551"/>
      <c r="AL819" s="538"/>
      <c r="AM819" s="595"/>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3" customFormat="1">
      <c r="A820" s="2595" t="s">
        <v>1583</v>
      </c>
      <c r="B820" s="2565"/>
      <c r="C820" s="2565"/>
      <c r="D820" s="2565"/>
      <c r="E820" s="2565"/>
      <c r="F820" s="2565"/>
      <c r="G820" s="2565"/>
      <c r="H820" s="2565"/>
      <c r="I820" s="2565"/>
      <c r="J820" s="2565"/>
      <c r="K820" s="2565"/>
      <c r="L820" s="2565"/>
      <c r="M820" s="2565"/>
      <c r="N820" s="2565"/>
      <c r="O820" s="2565"/>
      <c r="P820" s="2565"/>
      <c r="Q820" s="2565"/>
      <c r="R820" s="2565"/>
      <c r="S820" s="2566"/>
      <c r="T820" s="2596"/>
      <c r="U820" s="2596"/>
      <c r="V820" s="2596"/>
      <c r="W820" s="2596"/>
      <c r="X820" s="2596"/>
      <c r="Y820" s="2596"/>
      <c r="Z820" s="2485" t="s">
        <v>1584</v>
      </c>
      <c r="AA820" s="2485"/>
      <c r="AB820" s="2485"/>
      <c r="AC820" s="2485"/>
      <c r="AD820" s="2485"/>
      <c r="AE820" s="2485"/>
      <c r="AF820" s="2597">
        <f>IF(T820&gt;0,T820,0)</f>
        <v>0</v>
      </c>
      <c r="AG820" s="2598"/>
      <c r="AH820" s="2598"/>
      <c r="AI820" s="2598"/>
      <c r="AJ820" s="2598"/>
      <c r="AK820" s="2599"/>
      <c r="AL820" s="590"/>
      <c r="AM820" s="595"/>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3" customFormat="1" ht="15.75">
      <c r="A821" s="2600" t="s">
        <v>1585</v>
      </c>
      <c r="B821" s="2601"/>
      <c r="C821" s="2601"/>
      <c r="D821" s="2601"/>
      <c r="E821" s="2601"/>
      <c r="F821" s="2601"/>
      <c r="G821" s="2601"/>
      <c r="H821" s="2601"/>
      <c r="I821" s="2601"/>
      <c r="J821" s="2601"/>
      <c r="K821" s="2601"/>
      <c r="L821" s="2601"/>
      <c r="M821" s="2601"/>
      <c r="N821" s="2601"/>
      <c r="O821" s="2601"/>
      <c r="P821" s="2601"/>
      <c r="Q821" s="2601"/>
      <c r="R821" s="2601"/>
      <c r="S821" s="2601"/>
      <c r="T821" s="2601"/>
      <c r="U821" s="2601"/>
      <c r="V821" s="2601"/>
      <c r="W821" s="2601"/>
      <c r="X821" s="2601"/>
      <c r="Y821" s="2601"/>
      <c r="Z821" s="2601"/>
      <c r="AA821" s="2601"/>
      <c r="AB821" s="2601"/>
      <c r="AC821" s="2601"/>
      <c r="AD821" s="2601"/>
      <c r="AE821" s="2602"/>
      <c r="AF821" s="2606">
        <f>SUM(AF804:AK819)-AF820</f>
        <v>119</v>
      </c>
      <c r="AG821" s="2607"/>
      <c r="AH821" s="2607"/>
      <c r="AI821" s="2607"/>
      <c r="AJ821" s="2607"/>
      <c r="AK821" s="2608"/>
      <c r="AL821" s="824"/>
      <c r="AM821" s="549"/>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3" customFormat="1" ht="15.75">
      <c r="A822" s="2603"/>
      <c r="B822" s="2604"/>
      <c r="C822" s="2604"/>
      <c r="D822" s="2604"/>
      <c r="E822" s="2604"/>
      <c r="F822" s="2604"/>
      <c r="G822" s="2604"/>
      <c r="H822" s="2604"/>
      <c r="I822" s="2604"/>
      <c r="J822" s="2604"/>
      <c r="K822" s="2604"/>
      <c r="L822" s="2604"/>
      <c r="M822" s="2604"/>
      <c r="N822" s="2604"/>
      <c r="O822" s="2604"/>
      <c r="P822" s="2604"/>
      <c r="Q822" s="2604"/>
      <c r="R822" s="2604"/>
      <c r="S822" s="2604"/>
      <c r="T822" s="2604"/>
      <c r="U822" s="2604"/>
      <c r="V822" s="2604"/>
      <c r="W822" s="2604"/>
      <c r="X822" s="2604"/>
      <c r="Y822" s="2604"/>
      <c r="Z822" s="2604"/>
      <c r="AA822" s="2604"/>
      <c r="AB822" s="2604"/>
      <c r="AC822" s="2604"/>
      <c r="AD822" s="2604"/>
      <c r="AE822" s="2605"/>
      <c r="AF822" s="2609"/>
      <c r="AG822" s="2610"/>
      <c r="AH822" s="2610"/>
      <c r="AI822" s="2610"/>
      <c r="AJ822" s="2610"/>
      <c r="AK822" s="2611"/>
      <c r="AL822" s="824"/>
      <c r="AM822" s="549"/>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3" customFormat="1">
      <c r="A823" s="662"/>
      <c r="B823" s="662"/>
      <c r="C823" s="662"/>
      <c r="D823" s="662"/>
      <c r="E823" s="662"/>
      <c r="F823" s="662"/>
      <c r="G823" s="662"/>
      <c r="H823" s="662"/>
      <c r="I823" s="662"/>
      <c r="J823" s="662"/>
      <c r="K823" s="662"/>
      <c r="L823" s="662"/>
      <c r="M823" s="662"/>
      <c r="N823" s="662"/>
      <c r="O823" s="662"/>
      <c r="P823" s="662"/>
      <c r="Q823" s="662"/>
      <c r="R823" s="662"/>
      <c r="S823" s="662"/>
      <c r="T823" s="662"/>
      <c r="U823" s="662"/>
      <c r="V823" s="662"/>
      <c r="W823" s="662"/>
      <c r="X823" s="662"/>
      <c r="Y823" s="662"/>
      <c r="Z823" s="662"/>
      <c r="AA823" s="662"/>
      <c r="AB823" s="662"/>
      <c r="AC823" s="662"/>
      <c r="AD823" s="662"/>
      <c r="AE823" s="662"/>
      <c r="AF823" s="662"/>
      <c r="AG823" s="662"/>
      <c r="AH823" s="662"/>
      <c r="AI823" s="662"/>
      <c r="AJ823" s="662"/>
      <c r="AK823" s="662"/>
      <c r="AL823" s="662"/>
      <c r="AM823" s="825"/>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8d8ce9b7-0db5-4500-8c33-f3a389c3750c}" enabled="0" method="" siteId="{8d8ce9b7-0db5-4500-8c33-f3a389c3750c}" removed="1"/>
  <clbl:label id="{c66bc13f-37fb-424e-b953-b4dd215cda73}" enabled="1" method="Standard" siteId="{3bee5c8a-6cb4-4c10-a77b-cd2eaeb7534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2025-05-15T02:30:07Z</cp:lastPrinted>
  <dcterms:created xsi:type="dcterms:W3CDTF">2007-12-27T18:26:28Z</dcterms:created>
  <dcterms:modified xsi:type="dcterms:W3CDTF">2025-06-05T17:43:02Z</dcterms:modified>
</cp:coreProperties>
</file>